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270" yWindow="-60" windowWidth="11355" windowHeight="8145" tabRatio="827" firstSheet="2" activeTab="3"/>
  </bookViews>
  <sheets>
    <sheet name="BSQ" sheetId="32" state="hidden" r:id="rId1"/>
    <sheet name="CFSQ" sheetId="12" state="hidden" r:id="rId2"/>
    <sheet name="Dashboard" sheetId="2" r:id="rId3"/>
    <sheet name="Template" sheetId="31" r:id="rId4"/>
    <sheet name="REVENUE DRIVERS" sheetId="42" r:id="rId5"/>
    <sheet name="Asumptions" sheetId="39" r:id="rId6"/>
    <sheet name="INCOME STATEMENT" sheetId="43" r:id="rId7"/>
    <sheet name="BALANCE SHEET" sheetId="36" r:id="rId8"/>
    <sheet name="CASH FLOW STATEMENT" sheetId="37" r:id="rId9"/>
    <sheet name="IS" sheetId="23" state="hidden" r:id="rId10"/>
    <sheet name="FAM" sheetId="35" r:id="rId11"/>
    <sheet name="DRS" sheetId="41" r:id="rId12"/>
  </sheets>
  <externalReferences>
    <externalReference r:id="rId13"/>
  </externalReferences>
  <definedNames>
    <definedName name="Company_Name">Dashboard!$B$3</definedName>
    <definedName name="Currency">Dashboard!$B$7</definedName>
    <definedName name="LHY">Dashboard!$B$5</definedName>
  </definedNames>
  <calcPr calcId="124519"/>
</workbook>
</file>

<file path=xl/calcChain.xml><?xml version="1.0" encoding="utf-8"?>
<calcChain xmlns="http://schemas.openxmlformats.org/spreadsheetml/2006/main">
  <c r="N48" i="39"/>
  <c r="I48"/>
  <c r="H20" i="36"/>
  <c r="H19"/>
  <c r="H18"/>
  <c r="H11"/>
  <c r="H10"/>
  <c r="H17"/>
  <c r="H32" i="37" s="1"/>
  <c r="E10" i="39"/>
  <c r="F10"/>
  <c r="G10"/>
  <c r="H10"/>
  <c r="I10"/>
  <c r="J10"/>
  <c r="K10"/>
  <c r="L10"/>
  <c r="M10"/>
  <c r="E8"/>
  <c r="F8"/>
  <c r="G8"/>
  <c r="H8"/>
  <c r="I8"/>
  <c r="J8"/>
  <c r="K8"/>
  <c r="L8"/>
  <c r="M8"/>
  <c r="F11" i="35"/>
  <c r="H16"/>
  <c r="H20"/>
  <c r="H17" s="1"/>
  <c r="H23"/>
  <c r="H27"/>
  <c r="H24" s="1"/>
  <c r="H30"/>
  <c r="H34"/>
  <c r="H31" s="1"/>
  <c r="H49"/>
  <c r="H12" i="36"/>
  <c r="G10"/>
  <c r="G35"/>
  <c r="G34"/>
  <c r="G28"/>
  <c r="G26"/>
  <c r="G20"/>
  <c r="G19"/>
  <c r="G18"/>
  <c r="G17"/>
  <c r="G12"/>
  <c r="F4" i="37"/>
  <c r="E4"/>
  <c r="G4" i="36"/>
  <c r="H4" s="1"/>
  <c r="E4"/>
  <c r="F4"/>
  <c r="W22" i="43"/>
  <c r="W15"/>
  <c r="X15" s="1"/>
  <c r="W14"/>
  <c r="W6"/>
  <c r="W16" s="1"/>
  <c r="X16" s="1"/>
  <c r="X22"/>
  <c r="X14"/>
  <c r="X6"/>
  <c r="S17"/>
  <c r="H25" i="35" l="1"/>
  <c r="H32"/>
  <c r="H18"/>
  <c r="W17" i="43"/>
  <c r="X17"/>
  <c r="W10"/>
  <c r="X10" s="1"/>
  <c r="S22"/>
  <c r="S16"/>
  <c r="S15"/>
  <c r="S10"/>
  <c r="V22"/>
  <c r="U22"/>
  <c r="T22"/>
  <c r="R22"/>
  <c r="Q22"/>
  <c r="P22"/>
  <c r="O22"/>
  <c r="V16"/>
  <c r="U16"/>
  <c r="T16"/>
  <c r="R16"/>
  <c r="Q16"/>
  <c r="P16"/>
  <c r="O16"/>
  <c r="V15"/>
  <c r="V17" s="1"/>
  <c r="U15"/>
  <c r="T15"/>
  <c r="R15"/>
  <c r="Q15"/>
  <c r="P15"/>
  <c r="O15"/>
  <c r="V14"/>
  <c r="U14"/>
  <c r="U17" s="1"/>
  <c r="T14"/>
  <c r="S14"/>
  <c r="Q14" s="1"/>
  <c r="Q17" s="1"/>
  <c r="O14"/>
  <c r="O17" s="1"/>
  <c r="V10"/>
  <c r="U10"/>
  <c r="T10"/>
  <c r="R10"/>
  <c r="Q10"/>
  <c r="P10"/>
  <c r="O10"/>
  <c r="O6"/>
  <c r="P6"/>
  <c r="Q6"/>
  <c r="R6"/>
  <c r="S6"/>
  <c r="T6"/>
  <c r="U6"/>
  <c r="V6"/>
  <c r="I10" i="42"/>
  <c r="X10"/>
  <c r="X9"/>
  <c r="X14"/>
  <c r="X13"/>
  <c r="S14"/>
  <c r="S13"/>
  <c r="S10"/>
  <c r="S9"/>
  <c r="N10"/>
  <c r="N9"/>
  <c r="M13"/>
  <c r="N13"/>
  <c r="N14"/>
  <c r="I14"/>
  <c r="X16"/>
  <c r="X12"/>
  <c r="X8"/>
  <c r="S12"/>
  <c r="S16" s="1"/>
  <c r="S8"/>
  <c r="N12"/>
  <c r="N16" s="1"/>
  <c r="N8"/>
  <c r="I16"/>
  <c r="I12"/>
  <c r="I8"/>
  <c r="N29" i="43"/>
  <c r="N28"/>
  <c r="I29"/>
  <c r="I28"/>
  <c r="N25"/>
  <c r="N24"/>
  <c r="N23"/>
  <c r="N22"/>
  <c r="N21"/>
  <c r="N19"/>
  <c r="N17"/>
  <c r="N16"/>
  <c r="N15"/>
  <c r="N14"/>
  <c r="N13"/>
  <c r="N11"/>
  <c r="N10"/>
  <c r="N8"/>
  <c r="N7"/>
  <c r="N6"/>
  <c r="I22"/>
  <c r="I21"/>
  <c r="I19"/>
  <c r="I17"/>
  <c r="I16"/>
  <c r="I15"/>
  <c r="I14"/>
  <c r="I13"/>
  <c r="I11"/>
  <c r="I10"/>
  <c r="I8"/>
  <c r="T17" l="1"/>
  <c r="P14"/>
  <c r="P17" s="1"/>
  <c r="R14"/>
  <c r="R17" s="1"/>
  <c r="I25"/>
  <c r="I24"/>
  <c r="I23"/>
  <c r="I7"/>
  <c r="I6"/>
  <c r="M4"/>
  <c r="L4" s="1"/>
  <c r="K4" s="1"/>
  <c r="J4" s="1"/>
  <c r="H4" s="1"/>
  <c r="G4" s="1"/>
  <c r="F4" s="1"/>
  <c r="E4" s="1"/>
  <c r="B4"/>
  <c r="B2"/>
  <c r="O6" i="23"/>
  <c r="P6"/>
  <c r="W6"/>
  <c r="X6"/>
  <c r="M14" i="42"/>
  <c r="O14"/>
  <c r="P14"/>
  <c r="M10"/>
  <c r="O10"/>
  <c r="P10"/>
  <c r="L16"/>
  <c r="K16"/>
  <c r="K10" s="1"/>
  <c r="J16"/>
  <c r="J10" s="1"/>
  <c r="G16"/>
  <c r="G14" s="1"/>
  <c r="F16"/>
  <c r="F10" s="1"/>
  <c r="E16"/>
  <c r="E10" s="1"/>
  <c r="L14"/>
  <c r="K14"/>
  <c r="F14"/>
  <c r="E14"/>
  <c r="L13"/>
  <c r="K13"/>
  <c r="J13"/>
  <c r="Q12"/>
  <c r="P12"/>
  <c r="O12"/>
  <c r="T12" s="1"/>
  <c r="M12"/>
  <c r="H12"/>
  <c r="L10"/>
  <c r="L9"/>
  <c r="K9"/>
  <c r="J9"/>
  <c r="Q8"/>
  <c r="V8" s="1"/>
  <c r="P8"/>
  <c r="U8" s="1"/>
  <c r="O8"/>
  <c r="T8" s="1"/>
  <c r="M8"/>
  <c r="H8"/>
  <c r="M4"/>
  <c r="L4" s="1"/>
  <c r="K4" s="1"/>
  <c r="J4" s="1"/>
  <c r="H4" s="1"/>
  <c r="G4" s="1"/>
  <c r="F4" s="1"/>
  <c r="E4" s="1"/>
  <c r="B4"/>
  <c r="B2"/>
  <c r="O4" i="43" l="1"/>
  <c r="P4" s="1"/>
  <c r="Q4" s="1"/>
  <c r="R4" s="1"/>
  <c r="T4" s="1"/>
  <c r="U4" s="1"/>
  <c r="V4" s="1"/>
  <c r="W4" s="1"/>
  <c r="M16" i="42"/>
  <c r="H16"/>
  <c r="H10" s="1"/>
  <c r="Q16"/>
  <c r="Q6" i="23" s="1"/>
  <c r="P16" i="42"/>
  <c r="J14"/>
  <c r="G10"/>
  <c r="T16"/>
  <c r="S6" i="23" s="1"/>
  <c r="O16" i="42"/>
  <c r="R12"/>
  <c r="H14"/>
  <c r="R8"/>
  <c r="M9"/>
  <c r="U12"/>
  <c r="V12"/>
  <c r="O4"/>
  <c r="P4" s="1"/>
  <c r="Q4" s="1"/>
  <c r="R4" s="1"/>
  <c r="T4" s="1"/>
  <c r="U4" s="1"/>
  <c r="V4" s="1"/>
  <c r="W4" s="1"/>
  <c r="I7" i="23"/>
  <c r="I20"/>
  <c r="I21"/>
  <c r="I22"/>
  <c r="N21"/>
  <c r="H35" i="36"/>
  <c r="H41" i="37" s="1"/>
  <c r="G41"/>
  <c r="X55" i="39"/>
  <c r="S55"/>
  <c r="H34" i="36"/>
  <c r="H45" i="37" s="1"/>
  <c r="G45"/>
  <c r="X53" i="39"/>
  <c r="S53"/>
  <c r="H31" i="36"/>
  <c r="H42" i="37" s="1"/>
  <c r="G31" i="36"/>
  <c r="G42" i="37" s="1"/>
  <c r="H28" i="36"/>
  <c r="H26" i="37" s="1"/>
  <c r="G26"/>
  <c r="X50" i="39"/>
  <c r="X46"/>
  <c r="S50"/>
  <c r="H26" i="36"/>
  <c r="H40" i="37" s="1"/>
  <c r="G40"/>
  <c r="S46" i="39"/>
  <c r="G33" i="37"/>
  <c r="G32"/>
  <c r="X43" i="39"/>
  <c r="X41"/>
  <c r="S43"/>
  <c r="S41"/>
  <c r="X39"/>
  <c r="S39"/>
  <c r="X37"/>
  <c r="S37"/>
  <c r="G49" i="35"/>
  <c r="E38"/>
  <c r="F20"/>
  <c r="E20"/>
  <c r="F17"/>
  <c r="E17"/>
  <c r="G16"/>
  <c r="F16"/>
  <c r="E16"/>
  <c r="F34"/>
  <c r="E34"/>
  <c r="F27"/>
  <c r="E27"/>
  <c r="E13"/>
  <c r="S48" i="39" l="1"/>
  <c r="U16" i="42"/>
  <c r="T10"/>
  <c r="V16"/>
  <c r="V14" s="1"/>
  <c r="Q10"/>
  <c r="Q14"/>
  <c r="W8"/>
  <c r="T14"/>
  <c r="G20" i="35"/>
  <c r="R16" i="42"/>
  <c r="R6" i="23" s="1"/>
  <c r="W12" i="42"/>
  <c r="H33" i="37"/>
  <c r="G34" i="35"/>
  <c r="G27"/>
  <c r="X48" i="39" l="1"/>
  <c r="T6" i="23"/>
  <c r="U10" i="42"/>
  <c r="R10"/>
  <c r="U14"/>
  <c r="U6" i="23"/>
  <c r="V10" i="42"/>
  <c r="W16"/>
  <c r="V6" i="23" s="1"/>
  <c r="R14" i="42"/>
  <c r="W14" l="1"/>
  <c r="W10"/>
  <c r="X32" i="39"/>
  <c r="S32"/>
  <c r="N30"/>
  <c r="I30"/>
  <c r="N7" i="23"/>
  <c r="N28" i="39"/>
  <c r="S28" s="1"/>
  <c r="I28"/>
  <c r="N6" i="23"/>
  <c r="I6"/>
  <c r="X13"/>
  <c r="W13" s="1"/>
  <c r="S13"/>
  <c r="R13" s="1"/>
  <c r="I80" i="41"/>
  <c r="H80"/>
  <c r="F80"/>
  <c r="G71"/>
  <c r="G64"/>
  <c r="G74" s="1"/>
  <c r="F64"/>
  <c r="F71" s="1"/>
  <c r="H71" s="1"/>
  <c r="I61"/>
  <c r="H61"/>
  <c r="G58"/>
  <c r="G79" s="1"/>
  <c r="F58"/>
  <c r="F79" s="1"/>
  <c r="H56"/>
  <c r="I54" s="1"/>
  <c r="I56" s="1"/>
  <c r="I58" s="1"/>
  <c r="G55"/>
  <c r="H54"/>
  <c r="G54"/>
  <c r="G50"/>
  <c r="F50"/>
  <c r="H46"/>
  <c r="H48" s="1"/>
  <c r="G46"/>
  <c r="G47" s="1"/>
  <c r="G42"/>
  <c r="F42"/>
  <c r="H40"/>
  <c r="I38" s="1"/>
  <c r="I40" s="1"/>
  <c r="I42" s="1"/>
  <c r="G39"/>
  <c r="H38"/>
  <c r="G38"/>
  <c r="G34"/>
  <c r="F34"/>
  <c r="H30"/>
  <c r="H32" s="1"/>
  <c r="G30"/>
  <c r="G31" s="1"/>
  <c r="G26"/>
  <c r="F26"/>
  <c r="H24"/>
  <c r="I22" s="1"/>
  <c r="I24" s="1"/>
  <c r="I26" s="1"/>
  <c r="G23"/>
  <c r="H22"/>
  <c r="G22"/>
  <c r="I10"/>
  <c r="H10"/>
  <c r="B4"/>
  <c r="B2"/>
  <c r="G24" i="37" l="1"/>
  <c r="H24"/>
  <c r="S30" i="39"/>
  <c r="X30" s="1"/>
  <c r="X28"/>
  <c r="O13" i="23"/>
  <c r="P13"/>
  <c r="T13"/>
  <c r="Q13"/>
  <c r="U13"/>
  <c r="V13"/>
  <c r="G80" i="41"/>
  <c r="H64"/>
  <c r="I71"/>
  <c r="H50"/>
  <c r="I46"/>
  <c r="I48" s="1"/>
  <c r="I50" s="1"/>
  <c r="I79" s="1"/>
  <c r="H34"/>
  <c r="I30"/>
  <c r="I32" s="1"/>
  <c r="I34" s="1"/>
  <c r="H26"/>
  <c r="H42"/>
  <c r="H58"/>
  <c r="H79" s="1"/>
  <c r="I64" l="1"/>
  <c r="H74"/>
  <c r="H70"/>
  <c r="I70" l="1"/>
  <c r="I74"/>
  <c r="E23" i="39" l="1"/>
  <c r="O19" i="23"/>
  <c r="P19"/>
  <c r="Q19"/>
  <c r="R19"/>
  <c r="T19"/>
  <c r="U19"/>
  <c r="V19"/>
  <c r="W19"/>
  <c r="N19" i="39"/>
  <c r="I19"/>
  <c r="M19"/>
  <c r="L19"/>
  <c r="K19"/>
  <c r="J19"/>
  <c r="H19"/>
  <c r="G19"/>
  <c r="F19"/>
  <c r="E19"/>
  <c r="M17"/>
  <c r="L17"/>
  <c r="K17"/>
  <c r="H17"/>
  <c r="G17"/>
  <c r="F17"/>
  <c r="E17"/>
  <c r="Q15"/>
  <c r="V15" s="1"/>
  <c r="V14" i="23" s="1"/>
  <c r="P15" i="39"/>
  <c r="U15" s="1"/>
  <c r="U14" i="23" s="1"/>
  <c r="O15" i="39"/>
  <c r="T15" s="1"/>
  <c r="N12"/>
  <c r="N13" s="1"/>
  <c r="I12"/>
  <c r="I13" s="1"/>
  <c r="M4"/>
  <c r="L4" s="1"/>
  <c r="K4" s="1"/>
  <c r="J4" s="1"/>
  <c r="H4" s="1"/>
  <c r="G4" s="1"/>
  <c r="F4" s="1"/>
  <c r="E4" s="1"/>
  <c r="B4"/>
  <c r="B2"/>
  <c r="H49" i="37"/>
  <c r="G49"/>
  <c r="F7"/>
  <c r="E7"/>
  <c r="G4"/>
  <c r="H4" s="1"/>
  <c r="B4"/>
  <c r="B2"/>
  <c r="F47" i="36"/>
  <c r="F49" s="1"/>
  <c r="E47"/>
  <c r="E49" s="1"/>
  <c r="G46"/>
  <c r="H46" s="1"/>
  <c r="G45"/>
  <c r="H45" s="1"/>
  <c r="G43"/>
  <c r="H43" s="1"/>
  <c r="F36"/>
  <c r="E36"/>
  <c r="H36"/>
  <c r="F30"/>
  <c r="E30"/>
  <c r="F21"/>
  <c r="E21"/>
  <c r="F14"/>
  <c r="F22" s="1"/>
  <c r="E14"/>
  <c r="E22" s="1"/>
  <c r="B4"/>
  <c r="B2"/>
  <c r="G41" i="35"/>
  <c r="F41"/>
  <c r="F42" s="1"/>
  <c r="E41"/>
  <c r="E42" s="1"/>
  <c r="G30"/>
  <c r="F30"/>
  <c r="F31" s="1"/>
  <c r="E30"/>
  <c r="E31" s="1"/>
  <c r="G23"/>
  <c r="F23"/>
  <c r="F24" s="1"/>
  <c r="E23"/>
  <c r="E24" s="1"/>
  <c r="G9"/>
  <c r="F9"/>
  <c r="F10" s="1"/>
  <c r="E9"/>
  <c r="E10" s="1"/>
  <c r="F4"/>
  <c r="G4" s="1"/>
  <c r="H4" s="1"/>
  <c r="B4"/>
  <c r="B2"/>
  <c r="T52" i="12"/>
  <c r="S52"/>
  <c r="R52"/>
  <c r="Q52"/>
  <c r="P52"/>
  <c r="O52"/>
  <c r="N52"/>
  <c r="M52"/>
  <c r="L52"/>
  <c r="K52"/>
  <c r="J52"/>
  <c r="I52"/>
  <c r="H52"/>
  <c r="G52"/>
  <c r="F52"/>
  <c r="E52"/>
  <c r="T51"/>
  <c r="S51"/>
  <c r="R51"/>
  <c r="Q51"/>
  <c r="P51"/>
  <c r="O51"/>
  <c r="N51"/>
  <c r="M51"/>
  <c r="L51"/>
  <c r="K51"/>
  <c r="J51"/>
  <c r="I51"/>
  <c r="H51"/>
  <c r="G51"/>
  <c r="F51"/>
  <c r="E51"/>
  <c r="T39"/>
  <c r="S39"/>
  <c r="R39"/>
  <c r="Q39"/>
  <c r="P39"/>
  <c r="O39"/>
  <c r="N39"/>
  <c r="M39"/>
  <c r="L39"/>
  <c r="K39"/>
  <c r="J39"/>
  <c r="I39"/>
  <c r="H39"/>
  <c r="G39"/>
  <c r="F39"/>
  <c r="E39"/>
  <c r="E19"/>
  <c r="F19"/>
  <c r="F28" s="1"/>
  <c r="G19"/>
  <c r="G28" s="1"/>
  <c r="H19"/>
  <c r="I19"/>
  <c r="J19"/>
  <c r="K19"/>
  <c r="L19"/>
  <c r="M19"/>
  <c r="N19"/>
  <c r="O19"/>
  <c r="O28" s="1"/>
  <c r="P19"/>
  <c r="Q19"/>
  <c r="R19"/>
  <c r="S19"/>
  <c r="T19"/>
  <c r="E28"/>
  <c r="H28"/>
  <c r="I28"/>
  <c r="J28"/>
  <c r="K28"/>
  <c r="L28"/>
  <c r="M28"/>
  <c r="N28"/>
  <c r="P28"/>
  <c r="Q28"/>
  <c r="R28"/>
  <c r="S28"/>
  <c r="T28"/>
  <c r="F13" i="35" l="1"/>
  <c r="F38"/>
  <c r="F37" i="36"/>
  <c r="F50" s="1"/>
  <c r="F53" s="1"/>
  <c r="E37"/>
  <c r="E50" s="1"/>
  <c r="E53" s="1"/>
  <c r="G53" i="37"/>
  <c r="Q14" i="23"/>
  <c r="T14"/>
  <c r="W15" i="39"/>
  <c r="W14" i="23" s="1"/>
  <c r="R15" i="39"/>
  <c r="R14" i="23" s="1"/>
  <c r="O14"/>
  <c r="P14"/>
  <c r="O17" i="39"/>
  <c r="O8"/>
  <c r="O4"/>
  <c r="P4" s="1"/>
  <c r="Q4" s="1"/>
  <c r="R4" s="1"/>
  <c r="T4" s="1"/>
  <c r="U4" s="1"/>
  <c r="V4" s="1"/>
  <c r="W4" s="1"/>
  <c r="G36" i="36"/>
  <c r="E45" i="35"/>
  <c r="F45"/>
  <c r="E4"/>
  <c r="D4" s="1"/>
  <c r="T62" i="32"/>
  <c r="S62"/>
  <c r="R62"/>
  <c r="Q62"/>
  <c r="P62"/>
  <c r="O62"/>
  <c r="N62"/>
  <c r="M62"/>
  <c r="L62"/>
  <c r="K62"/>
  <c r="J62"/>
  <c r="I62"/>
  <c r="H62"/>
  <c r="G62"/>
  <c r="F62"/>
  <c r="E62"/>
  <c r="T44"/>
  <c r="S44"/>
  <c r="R44"/>
  <c r="Q44"/>
  <c r="P44"/>
  <c r="O44"/>
  <c r="N44"/>
  <c r="M44"/>
  <c r="L44"/>
  <c r="K44"/>
  <c r="J44"/>
  <c r="I44"/>
  <c r="H44"/>
  <c r="G44"/>
  <c r="F44"/>
  <c r="E44"/>
  <c r="T34"/>
  <c r="S34"/>
  <c r="R34"/>
  <c r="Q34"/>
  <c r="P34"/>
  <c r="O34"/>
  <c r="N34"/>
  <c r="M34"/>
  <c r="L34"/>
  <c r="K34"/>
  <c r="J34"/>
  <c r="I34"/>
  <c r="H34"/>
  <c r="G34"/>
  <c r="F34"/>
  <c r="E34"/>
  <c r="T33"/>
  <c r="S33"/>
  <c r="R33"/>
  <c r="Q33"/>
  <c r="P33"/>
  <c r="O33"/>
  <c r="N33"/>
  <c r="M33"/>
  <c r="L33"/>
  <c r="K33"/>
  <c r="J33"/>
  <c r="I33"/>
  <c r="H33"/>
  <c r="G33"/>
  <c r="F33"/>
  <c r="E33"/>
  <c r="T27"/>
  <c r="S27"/>
  <c r="R27"/>
  <c r="Q27"/>
  <c r="P27"/>
  <c r="O27"/>
  <c r="N27"/>
  <c r="M27"/>
  <c r="L27"/>
  <c r="K27"/>
  <c r="J27"/>
  <c r="I27"/>
  <c r="H27"/>
  <c r="G27"/>
  <c r="F27"/>
  <c r="E27"/>
  <c r="T20"/>
  <c r="S20"/>
  <c r="R20"/>
  <c r="Q20"/>
  <c r="P20"/>
  <c r="O20"/>
  <c r="N20"/>
  <c r="M20"/>
  <c r="L20"/>
  <c r="K20"/>
  <c r="J20"/>
  <c r="I20"/>
  <c r="H20"/>
  <c r="G20"/>
  <c r="F20"/>
  <c r="E20"/>
  <c r="T14"/>
  <c r="S14"/>
  <c r="R14"/>
  <c r="Q14"/>
  <c r="P14"/>
  <c r="O14"/>
  <c r="N14"/>
  <c r="M14"/>
  <c r="L14"/>
  <c r="K14"/>
  <c r="J14"/>
  <c r="I14"/>
  <c r="H14"/>
  <c r="G14"/>
  <c r="F14"/>
  <c r="E14"/>
  <c r="P8" i="39" l="1"/>
  <c r="O7" i="43"/>
  <c r="H45" i="35"/>
  <c r="G13"/>
  <c r="H13" s="1"/>
  <c r="H10" s="1"/>
  <c r="H38" s="1"/>
  <c r="H31" i="37" s="1"/>
  <c r="G45" i="35"/>
  <c r="Q8" i="39" l="1"/>
  <c r="P7" i="43"/>
  <c r="P8" s="1"/>
  <c r="P11" s="1"/>
  <c r="P19" s="1"/>
  <c r="O8"/>
  <c r="O11" s="1"/>
  <c r="O19" s="1"/>
  <c r="O21" s="1"/>
  <c r="P16" i="23"/>
  <c r="P7"/>
  <c r="P8" s="1"/>
  <c r="L4" i="32"/>
  <c r="K4" s="1"/>
  <c r="J4" s="1"/>
  <c r="I4" s="1"/>
  <c r="H4" s="1"/>
  <c r="G4" s="1"/>
  <c r="F4" s="1"/>
  <c r="E4" s="1"/>
  <c r="B4"/>
  <c r="B2"/>
  <c r="L4" i="31"/>
  <c r="K4" s="1"/>
  <c r="J4" s="1"/>
  <c r="I4" s="1"/>
  <c r="H4" s="1"/>
  <c r="G4" s="1"/>
  <c r="F4" s="1"/>
  <c r="E4" s="1"/>
  <c r="B4"/>
  <c r="B2"/>
  <c r="M16" i="23"/>
  <c r="L16"/>
  <c r="K16"/>
  <c r="J16"/>
  <c r="H16"/>
  <c r="G16"/>
  <c r="F16"/>
  <c r="E16"/>
  <c r="M8"/>
  <c r="M11" s="1"/>
  <c r="L8"/>
  <c r="L11" s="1"/>
  <c r="K8"/>
  <c r="K11" s="1"/>
  <c r="J8"/>
  <c r="J11" s="1"/>
  <c r="H8"/>
  <c r="H11" s="1"/>
  <c r="G8"/>
  <c r="G11" s="1"/>
  <c r="F8"/>
  <c r="F11" s="1"/>
  <c r="E8"/>
  <c r="E11" s="1"/>
  <c r="P23" i="43" l="1"/>
  <c r="P21"/>
  <c r="O23"/>
  <c r="R8" i="39"/>
  <c r="R7" i="43" s="1"/>
  <c r="R8" s="1"/>
  <c r="R11" s="1"/>
  <c r="R19" s="1"/>
  <c r="Q7"/>
  <c r="Q8" s="1"/>
  <c r="Q11" s="1"/>
  <c r="Q19" s="1"/>
  <c r="S7"/>
  <c r="O10" i="23"/>
  <c r="P10"/>
  <c r="P11" s="1"/>
  <c r="P17" s="1"/>
  <c r="H17"/>
  <c r="H20" s="1"/>
  <c r="M17"/>
  <c r="M20" s="1"/>
  <c r="M4" i="32"/>
  <c r="N4" s="1"/>
  <c r="O4" s="1"/>
  <c r="P4" s="1"/>
  <c r="Q4" s="1"/>
  <c r="R4" s="1"/>
  <c r="S4" s="1"/>
  <c r="T4" s="1"/>
  <c r="G17" i="23"/>
  <c r="G20" s="1"/>
  <c r="L17"/>
  <c r="L20" s="1"/>
  <c r="E17"/>
  <c r="E20" s="1"/>
  <c r="E22" s="1"/>
  <c r="J17"/>
  <c r="J20" s="1"/>
  <c r="F17"/>
  <c r="F20" s="1"/>
  <c r="K17"/>
  <c r="K20" s="1"/>
  <c r="M4" i="31"/>
  <c r="N4" s="1"/>
  <c r="O4" s="1"/>
  <c r="P4" s="1"/>
  <c r="Q4" s="1"/>
  <c r="R4" s="1"/>
  <c r="S4" s="1"/>
  <c r="T4" s="1"/>
  <c r="G11" i="36" l="1"/>
  <c r="S8" i="43"/>
  <c r="S11" s="1"/>
  <c r="S19" s="1"/>
  <c r="G27" i="36"/>
  <c r="P24" i="43"/>
  <c r="P25" s="1"/>
  <c r="T8" i="39"/>
  <c r="R21" i="43"/>
  <c r="R23" s="1"/>
  <c r="Q23"/>
  <c r="Q24" s="1"/>
  <c r="Q25" s="1"/>
  <c r="Q21"/>
  <c r="S21" s="1"/>
  <c r="O25"/>
  <c r="O24"/>
  <c r="O16" i="23"/>
  <c r="O7"/>
  <c r="O8" s="1"/>
  <c r="O11" s="1"/>
  <c r="Q7"/>
  <c r="Q16"/>
  <c r="Q10"/>
  <c r="R10"/>
  <c r="R7"/>
  <c r="R8" s="1"/>
  <c r="R16"/>
  <c r="G25" i="37"/>
  <c r="G17" i="35"/>
  <c r="G18" s="1"/>
  <c r="V10" i="23"/>
  <c r="V16"/>
  <c r="U16"/>
  <c r="U10"/>
  <c r="T7"/>
  <c r="T8" s="1"/>
  <c r="T16"/>
  <c r="T10"/>
  <c r="W10"/>
  <c r="W16"/>
  <c r="N20"/>
  <c r="H22"/>
  <c r="H23" i="39"/>
  <c r="M22" i="23"/>
  <c r="M23" i="39"/>
  <c r="G22" i="23"/>
  <c r="G23" i="39"/>
  <c r="K22" i="23"/>
  <c r="K23" i="39"/>
  <c r="J22" i="23"/>
  <c r="J23" i="39"/>
  <c r="O23" s="1"/>
  <c r="T23" s="1"/>
  <c r="L22" i="23"/>
  <c r="L23" i="39"/>
  <c r="F22" i="23"/>
  <c r="F23" i="39"/>
  <c r="P18" i="23"/>
  <c r="P20" s="1"/>
  <c r="M4"/>
  <c r="L4" s="1"/>
  <c r="K4" s="1"/>
  <c r="J4" s="1"/>
  <c r="H4" s="1"/>
  <c r="G4" s="1"/>
  <c r="F4" s="1"/>
  <c r="E4" s="1"/>
  <c r="B4"/>
  <c r="B2"/>
  <c r="R25" i="43" l="1"/>
  <c r="R24"/>
  <c r="S24" s="1"/>
  <c r="G48" i="36" s="1"/>
  <c r="U8" i="39"/>
  <c r="T7" i="43"/>
  <c r="V8" i="39"/>
  <c r="S23" i="43"/>
  <c r="G30" i="36"/>
  <c r="G37" s="1"/>
  <c r="T11" i="23"/>
  <c r="O17"/>
  <c r="O18" s="1"/>
  <c r="O20" s="1"/>
  <c r="O21" s="1"/>
  <c r="R11"/>
  <c r="G24" i="35"/>
  <c r="G25" s="1"/>
  <c r="G22" i="37"/>
  <c r="G31" i="35"/>
  <c r="G32" s="1"/>
  <c r="R17" i="23"/>
  <c r="R18" s="1"/>
  <c r="R20" s="1"/>
  <c r="G10" i="35"/>
  <c r="G38" s="1"/>
  <c r="H22" i="37"/>
  <c r="T17" i="23"/>
  <c r="T18" s="1"/>
  <c r="T20" s="1"/>
  <c r="Q8"/>
  <c r="Q11" s="1"/>
  <c r="Q17" s="1"/>
  <c r="Q18" s="1"/>
  <c r="Q20" s="1"/>
  <c r="S7"/>
  <c r="G23" i="37" s="1"/>
  <c r="N22" i="23"/>
  <c r="Q23" i="39"/>
  <c r="V23" s="1"/>
  <c r="P23"/>
  <c r="U23" s="1"/>
  <c r="R23"/>
  <c r="W23" s="1"/>
  <c r="O4" i="23"/>
  <c r="P4" s="1"/>
  <c r="Q4" s="1"/>
  <c r="R4" s="1"/>
  <c r="T4" s="1"/>
  <c r="U4" s="1"/>
  <c r="V4" s="1"/>
  <c r="W4" s="1"/>
  <c r="S25" i="43" l="1"/>
  <c r="G44" i="36" s="1"/>
  <c r="G7" i="37"/>
  <c r="U7" i="43"/>
  <c r="U8" s="1"/>
  <c r="U11" s="1"/>
  <c r="U19" s="1"/>
  <c r="U21" s="1"/>
  <c r="U23" s="1"/>
  <c r="U24" s="1"/>
  <c r="U25" s="1"/>
  <c r="U7" i="23"/>
  <c r="W8" i="39"/>
  <c r="V7" i="43"/>
  <c r="V8" s="1"/>
  <c r="V11" s="1"/>
  <c r="V19" s="1"/>
  <c r="V21" s="1"/>
  <c r="V23" s="1"/>
  <c r="V24" s="1"/>
  <c r="V25" s="1"/>
  <c r="V7" i="23"/>
  <c r="V8" s="1"/>
  <c r="V11" s="1"/>
  <c r="V17" s="1"/>
  <c r="V18" s="1"/>
  <c r="V20" s="1"/>
  <c r="T8" i="43"/>
  <c r="T11" s="1"/>
  <c r="T19" s="1"/>
  <c r="V21" i="23"/>
  <c r="V22" s="1"/>
  <c r="S20"/>
  <c r="H37" i="37"/>
  <c r="G11" i="35"/>
  <c r="H9" s="1"/>
  <c r="H11" s="1"/>
  <c r="H36" s="1"/>
  <c r="T21" i="23"/>
  <c r="H23" i="37"/>
  <c r="O22" i="23"/>
  <c r="P21"/>
  <c r="P22" s="1"/>
  <c r="R21"/>
  <c r="R22" s="1"/>
  <c r="Q21"/>
  <c r="Q22" s="1"/>
  <c r="L4" i="12"/>
  <c r="M4" s="1"/>
  <c r="N4" s="1"/>
  <c r="O4" s="1"/>
  <c r="P4" s="1"/>
  <c r="Q4" s="1"/>
  <c r="R4" s="1"/>
  <c r="S4" s="1"/>
  <c r="T4" s="1"/>
  <c r="B4"/>
  <c r="B2"/>
  <c r="T21" i="43" l="1"/>
  <c r="U8" i="23"/>
  <c r="U11" s="1"/>
  <c r="U17" s="1"/>
  <c r="U18" s="1"/>
  <c r="U20" s="1"/>
  <c r="W7" i="43"/>
  <c r="W7" i="23"/>
  <c r="W8" s="1"/>
  <c r="W11" s="1"/>
  <c r="W17" s="1"/>
  <c r="W18" s="1"/>
  <c r="W20" s="1"/>
  <c r="W21" s="1"/>
  <c r="W22" s="1"/>
  <c r="T22"/>
  <c r="G31" i="37"/>
  <c r="G37" s="1"/>
  <c r="G42" i="35"/>
  <c r="G10" i="37" s="1"/>
  <c r="G36" i="35"/>
  <c r="S21" i="23"/>
  <c r="S22"/>
  <c r="K4" i="12"/>
  <c r="J4" s="1"/>
  <c r="I4" s="1"/>
  <c r="H4" s="1"/>
  <c r="G4" s="1"/>
  <c r="F4" s="1"/>
  <c r="E4" s="1"/>
  <c r="W8" i="43" l="1"/>
  <c r="W11" s="1"/>
  <c r="W19" s="1"/>
  <c r="X7"/>
  <c r="U21" i="23"/>
  <c r="X20"/>
  <c r="T23" i="43"/>
  <c r="X7" i="23"/>
  <c r="G43" i="35"/>
  <c r="H41" s="1"/>
  <c r="G19" i="37"/>
  <c r="G28" s="1"/>
  <c r="G52" s="1"/>
  <c r="G54" s="1"/>
  <c r="G47" i="36"/>
  <c r="G49" s="1"/>
  <c r="G50" s="1"/>
  <c r="X8" i="43" l="1"/>
  <c r="X11" s="1"/>
  <c r="X19" s="1"/>
  <c r="H27" i="36"/>
  <c r="W23" i="43"/>
  <c r="W21"/>
  <c r="X21" s="1"/>
  <c r="T24"/>
  <c r="T25" s="1"/>
  <c r="U22" i="23"/>
  <c r="X22" s="1"/>
  <c r="X21"/>
  <c r="H43" i="35"/>
  <c r="H47" s="1"/>
  <c r="H51" s="1"/>
  <c r="H16" i="36" s="1"/>
  <c r="H21" s="1"/>
  <c r="G47" i="35"/>
  <c r="H42" s="1"/>
  <c r="H10" i="37" s="1"/>
  <c r="G9" i="36"/>
  <c r="G14" s="1"/>
  <c r="H53" i="37"/>
  <c r="H25" l="1"/>
  <c r="H30" i="36"/>
  <c r="H37" s="1"/>
  <c r="W25" i="43"/>
  <c r="W24"/>
  <c r="X24" s="1"/>
  <c r="X23"/>
  <c r="H7" i="37" s="1"/>
  <c r="G51" i="35"/>
  <c r="X25" i="43" l="1"/>
  <c r="H44" i="36" s="1"/>
  <c r="H47" s="1"/>
  <c r="H49" s="1"/>
  <c r="H50" s="1"/>
  <c r="H48"/>
  <c r="G16"/>
  <c r="G21" s="1"/>
  <c r="G22" s="1"/>
  <c r="G53" s="1"/>
  <c r="H19" i="37"/>
  <c r="H28" s="1"/>
  <c r="H52" s="1"/>
  <c r="H54" s="1"/>
  <c r="H9" i="36" s="1"/>
  <c r="H14" s="1"/>
  <c r="H22" s="1"/>
  <c r="H53" l="1"/>
</calcChain>
</file>

<file path=xl/comments1.xml><?xml version="1.0" encoding="utf-8"?>
<comments xmlns="http://schemas.openxmlformats.org/spreadsheetml/2006/main">
  <authors>
    <author>hp</author>
  </authors>
  <commentList>
    <comment ref="D8" author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This segment has benefited from growing demand of Turbochatger. However, going ahead, softening of demand across the globe would be a hurdle for this segment's growth. But rising acceptance of EV would boost demand 2021 onwards.</t>
        </r>
      </text>
    </comment>
    <comment ref="O9" author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Due to industry slowdown and coronavirus pendemic, we expect revenue in this quarter to decline by 7% YoY.</t>
        </r>
      </text>
    </comment>
    <comment ref="P9" author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challenging industry environmnet continues. Also, seasonality would affect the production as many production plants remains closed during summer.
</t>
        </r>
      </text>
    </comment>
    <comment ref="Q9" author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Looking at historical trend, second half of the year shows sign of reviaval.</t>
        </r>
      </text>
    </comment>
    <comment ref="R9" author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Festive season would drive the recovery</t>
        </r>
      </text>
    </comment>
    <comment ref="T9" author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Demand likely to pick up here onwards on pick up in EV demand.</t>
        </r>
      </text>
    </comment>
    <comment ref="O13" author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Restucturing benefits would set off by poor industry scenario.</t>
        </r>
      </text>
    </comment>
    <comment ref="P13" author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challenging industry environmnet continues. Also, seasonality would affect the production as many production plants remains closed during summer.</t>
        </r>
      </text>
    </comment>
    <comment ref="Q13" author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Looking at historical trend, second half of the year shows sign of reviaval.</t>
        </r>
      </text>
    </comment>
    <comment ref="R13" author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Festive season would drive the recovery.
</t>
        </r>
      </text>
    </comment>
    <comment ref="T13" author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Demand likely to pick up here onwards on pick up in EV demand.</t>
        </r>
      </text>
    </comment>
  </commentList>
</comments>
</file>

<file path=xl/comments2.xml><?xml version="1.0" encoding="utf-8"?>
<comments xmlns="http://schemas.openxmlformats.org/spreadsheetml/2006/main">
  <authors>
    <author>hp</author>
  </authors>
  <commentList>
    <comment ref="O8" author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Taking average of last 8 quarters as cost of sales have almost remained same.</t>
        </r>
      </text>
    </comment>
    <comment ref="P8" author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Taking average of last 8 quarters as cost of sales have almost remained same.</t>
        </r>
      </text>
    </comment>
    <comment ref="Q8" author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Taking average of last 8 quarters as cost of sales have almost remained same.</t>
        </r>
      </text>
    </comment>
    <comment ref="R8" author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Taking average of last 8 quarters as cost of sales have almost remained same.</t>
        </r>
      </text>
    </comment>
    <comment ref="T8" author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Taking average of last 8 quarters as cost of sales have almost remained same.</t>
        </r>
      </text>
    </comment>
    <comment ref="U8" author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Taking average of last 8 quarters as cost of sales have almost remained same.</t>
        </r>
      </text>
    </comment>
    <comment ref="V8" author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Taking average of last 8 quarters as cost of sales have almost remained same.</t>
        </r>
      </text>
    </comment>
    <comment ref="W8" author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Taking average of last 8 quarters as cost of sales have almost remained same.</t>
        </r>
      </text>
    </comment>
    <comment ref="O10" author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Taking average of last 8 quarters. Also, it includes R&amp;D cost (47%) of SG&amp;A, would remain 4-4.5%.</t>
        </r>
      </text>
    </comment>
    <comment ref="P10" author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Taking average of last 8 quarters. Also, it includes R&amp;D cost (47%) of SG&amp;A, would remain 4-4.5%.</t>
        </r>
      </text>
    </comment>
    <comment ref="Q10" author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Taking average of last 8 quarters. Also, it includes R&amp;D cost (47%) of SG&amp;A, would remain 4-4.5%.</t>
        </r>
      </text>
    </comment>
    <comment ref="R10" author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Taking average of last 8 quarters. Also, it includes R&amp;D cost (47%) of SG&amp;A, would remain 4-4.5%.</t>
        </r>
      </text>
    </comment>
    <comment ref="T10" author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Taking average of last 8 quarters. Also, it includes R&amp;D cost (47%) of SG&amp;A, would remain 4-4.5%.</t>
        </r>
      </text>
    </comment>
    <comment ref="U10" author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Taking average of last 8 quarters. Also, it includes R&amp;D cost (47%) of SG&amp;A, would remain 4-4.5%.</t>
        </r>
      </text>
    </comment>
    <comment ref="V10" author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Taking average of last 8 quarters. Also, it includes R&amp;D cost (47%) of SG&amp;A, would remain 4-4.5%.</t>
        </r>
      </text>
    </comment>
    <comment ref="W10" author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Taking average of last 8 quarters. Also, it includes R&amp;D cost (47%) of SG&amp;A, would remain 4-4.5%.</t>
        </r>
      </text>
    </comment>
    <comment ref="O15" author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Taking average of March 2019 and March 2018
</t>
        </r>
      </text>
    </comment>
    <comment ref="P15" author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Taking average of June 2019 and June 2018
</t>
        </r>
      </text>
    </comment>
    <comment ref="Q15" author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Taking average of Sept 2019 and Sept 2018
</t>
        </r>
      </text>
    </comment>
    <comment ref="R15" author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Taking average of last 3 quarters</t>
        </r>
      </text>
    </comment>
    <comment ref="T15" author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Taking average of March 2020 and March 2019</t>
        </r>
      </text>
    </comment>
    <comment ref="U15" author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Taking average of June 2020 and June 2019</t>
        </r>
      </text>
    </comment>
    <comment ref="V15" author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Taking average of Sept 2020 and Sept 2019
</t>
        </r>
      </text>
    </comment>
    <comment ref="W15" author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Taking average of last 3 quarters</t>
        </r>
      </text>
    </comment>
    <comment ref="O17" author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Taking average of last 8 quarters for all the forecasts.</t>
        </r>
      </text>
    </comment>
    <comment ref="O19" author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Taking US tax rate of 21%</t>
        </r>
      </text>
    </comment>
    <comment ref="O21" author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Taking latest quarter's amount</t>
        </r>
      </text>
    </comment>
    <comment ref="O23" author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Taking average of YoY %</t>
        </r>
      </text>
    </comment>
    <comment ref="P23" author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Taking average of YoY %</t>
        </r>
      </text>
    </comment>
    <comment ref="Q23" author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Taking average of YoY %</t>
        </r>
      </text>
    </comment>
    <comment ref="R23" author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Taking average of YoY %</t>
        </r>
      </text>
    </comment>
    <comment ref="T23" author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Taking average of YoY %</t>
        </r>
      </text>
    </comment>
    <comment ref="U23" author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Taking average of YoY %</t>
        </r>
      </text>
    </comment>
    <comment ref="V23" author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Taking average of YoY %</t>
        </r>
      </text>
    </comment>
    <comment ref="W23" author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Taking average of YoY %</t>
        </r>
      </text>
    </comment>
    <comment ref="C25" author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on annual basis</t>
        </r>
      </text>
    </comment>
    <comment ref="S28" author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Taking historical %</t>
        </r>
      </text>
    </comment>
    <comment ref="X28" author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Taking historical %</t>
        </r>
      </text>
    </comment>
    <comment ref="S30" author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Taking average of last 2 years</t>
        </r>
      </text>
    </comment>
    <comment ref="X30" author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Taking average of last 2 years</t>
        </r>
      </text>
    </comment>
    <comment ref="S32" author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Taking average of last 2 years</t>
        </r>
      </text>
    </comment>
    <comment ref="X32" author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Taking average of last 2 years</t>
        </r>
      </text>
    </comment>
    <comment ref="S37" author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Taking average of last 2 years</t>
        </r>
      </text>
    </comment>
    <comment ref="X37" author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Taking average of last 2 years</t>
        </r>
      </text>
    </comment>
    <comment ref="S39" author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Taking as it is of last year</t>
        </r>
      </text>
    </comment>
    <comment ref="X39" author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Taking as it is of last year</t>
        </r>
      </text>
    </comment>
    <comment ref="S41" author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Taking as it is of last year</t>
        </r>
      </text>
    </comment>
    <comment ref="X41" author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Taking as it is of last year</t>
        </r>
      </text>
    </comment>
    <comment ref="S43" author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Taking as it is of last year</t>
        </r>
      </text>
    </comment>
    <comment ref="X43" author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Taking as it is of last year</t>
        </r>
      </text>
    </comment>
    <comment ref="S46" author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Taking average of last 2 years</t>
        </r>
      </text>
    </comment>
    <comment ref="X46" author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Taking average of last 2 years</t>
        </r>
      </text>
    </comment>
    <comment ref="S48" author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Taking average of last 2 years</t>
        </r>
      </text>
    </comment>
    <comment ref="X48" author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Taking average of last 2 years</t>
        </r>
      </text>
    </comment>
    <comment ref="S50" author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Taking average of last 2 years</t>
        </r>
      </text>
    </comment>
    <comment ref="X50" author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Taking average of last 2 years</t>
        </r>
      </text>
    </comment>
    <comment ref="S53" author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Taking 3% rise i.e. previous change</t>
        </r>
      </text>
    </comment>
    <comment ref="X53" author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Taking 3% rise i.e. previous change</t>
        </r>
      </text>
    </comment>
    <comment ref="S55" author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Taking average of last 2 years</t>
        </r>
      </text>
    </comment>
    <comment ref="X55" author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Taking average of last 2 years</t>
        </r>
      </text>
    </comment>
  </commentList>
</comments>
</file>

<file path=xl/comments3.xml><?xml version="1.0" encoding="utf-8"?>
<comments xmlns="http://schemas.openxmlformats.org/spreadsheetml/2006/main">
  <authors>
    <author>hp</author>
  </authors>
  <commentList>
    <comment ref="S13" author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Calculated in DRS sheet and have attrobuted eqally over the quarters</t>
        </r>
      </text>
    </comment>
    <comment ref="X13" author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Calculated in DRS sheet and have attrobuted eqally over the quarters</t>
        </r>
      </text>
    </comment>
  </commentList>
</comments>
</file>

<file path=xl/comments4.xml><?xml version="1.0" encoding="utf-8"?>
<comments xmlns="http://schemas.openxmlformats.org/spreadsheetml/2006/main">
  <authors>
    <author>hp</author>
  </authors>
  <commentList>
    <comment ref="G13" author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Taking average of last 2 years</t>
        </r>
      </text>
    </comment>
    <comment ref="H13" author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Taking average of last 2 years</t>
        </r>
      </text>
    </comment>
    <comment ref="G20" author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Taking average of last 2 years</t>
        </r>
      </text>
    </comment>
    <comment ref="H20" author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Taking average of last 2 years</t>
        </r>
      </text>
    </comment>
    <comment ref="G27" author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Taking average of last 2 years</t>
        </r>
      </text>
    </comment>
    <comment ref="H27" author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Taking average of last 2 years</t>
        </r>
      </text>
    </comment>
    <comment ref="G34" author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Taking average of last 2 years </t>
        </r>
      </text>
    </comment>
    <comment ref="H34" author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Taking average of last 2 years </t>
        </r>
      </text>
    </comment>
    <comment ref="G45" author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Taking average of last 2 years</t>
        </r>
      </text>
    </comment>
    <comment ref="H45" author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Taking average of last 2 years</t>
        </r>
      </text>
    </comment>
    <comment ref="G49" author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Taking average of last 2 years</t>
        </r>
      </text>
    </comment>
    <comment ref="H49" author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Taking average of last 2 years</t>
        </r>
      </text>
    </comment>
  </commentList>
</comments>
</file>

<file path=xl/sharedStrings.xml><?xml version="1.0" encoding="utf-8"?>
<sst xmlns="http://schemas.openxmlformats.org/spreadsheetml/2006/main" count="421" uniqueCount="233">
  <si>
    <t>Company Name</t>
  </si>
  <si>
    <t>Historical Year</t>
  </si>
  <si>
    <t>Currency</t>
  </si>
  <si>
    <t>Historical</t>
  </si>
  <si>
    <t>Cost of sales</t>
  </si>
  <si>
    <t>Gross profit</t>
  </si>
  <si>
    <t>(expressed in millions)</t>
  </si>
  <si>
    <t>Net sales</t>
  </si>
  <si>
    <t>Selling, general and administrative expenses</t>
  </si>
  <si>
    <t>Other expense (income), net</t>
  </si>
  <si>
    <t>Equity in affiliates’ earnings, net of tax</t>
  </si>
  <si>
    <t>Interest income</t>
  </si>
  <si>
    <t>Interest expense</t>
  </si>
  <si>
    <t>Other postretirement expense (income)</t>
  </si>
  <si>
    <t>—</t>
  </si>
  <si>
    <t>Provision for income taxes</t>
  </si>
  <si>
    <t>Net earnings</t>
  </si>
  <si>
    <t>Net earnings attributable to the noncontrolling interest, net of tax</t>
  </si>
  <si>
    <t>Earnings per share — basic</t>
  </si>
  <si>
    <t>Earnings per share — diluted</t>
  </si>
  <si>
    <t>Operating Income</t>
  </si>
  <si>
    <t>Total non-operating income -expense)</t>
  </si>
  <si>
    <t>Income before income taxes</t>
  </si>
  <si>
    <t>Net Income</t>
  </si>
  <si>
    <t>Net earnings attributable to BorgWarner Inc. </t>
  </si>
  <si>
    <t>Engine</t>
  </si>
  <si>
    <t>YoY growth</t>
  </si>
  <si>
    <t>As a % of sales</t>
  </si>
  <si>
    <t>Drivetrain</t>
  </si>
  <si>
    <t>Total Revenue</t>
  </si>
  <si>
    <t>OPERATING</t>
  </si>
  <si>
    <t>Adjustments to reconcile net earnings to net cash flows from operations:</t>
  </si>
  <si>
    <t>Non-cash charges (credits) to operations:</t>
  </si>
  <si>
    <t>Depreciation and amortization</t>
  </si>
  <si>
    <t>Deferred income tax (benefit) provision</t>
  </si>
  <si>
    <t>Stock-based compensation expense</t>
  </si>
  <si>
    <t>Restructuring expense, net of cash paid</t>
  </si>
  <si>
    <t>Pension settlement loss</t>
  </si>
  <si>
    <t>Tax reform adjustments to provision for income taxes</t>
  </si>
  <si>
    <t>Asset impairment and loss on divestiture</t>
  </si>
  <si>
    <t>Gain on derecognition of subsidiary</t>
  </si>
  <si>
    <t>Equity in affiliates’ earnings, net of dividends received, and other</t>
  </si>
  <si>
    <t>Net earnings adjusted for non-cash charges to operations</t>
  </si>
  <si>
    <t>Derecognition of a subsidiary</t>
  </si>
  <si>
    <t>Changes in assets and liabilities:</t>
  </si>
  <si>
    <t>Receivables</t>
  </si>
  <si>
    <t>Inventories</t>
  </si>
  <si>
    <t>Prepayments and other current assets</t>
  </si>
  <si>
    <t>Accounts payable and accrued expenses</t>
  </si>
  <si>
    <t>Prepaid taxes and Income taxes payable</t>
  </si>
  <si>
    <t>Other assets and liabilities</t>
  </si>
  <si>
    <t>Net cash provided by operating activities</t>
  </si>
  <si>
    <t>INVESTING</t>
  </si>
  <si>
    <t>Capital expenditures, including tooling outlays</t>
  </si>
  <si>
    <t>Payments for business acquired</t>
  </si>
  <si>
    <t>Proceeds from sale of business</t>
  </si>
  <si>
    <t>Payments for venture capital investment</t>
  </si>
  <si>
    <t>Proceeds from (payments for) settlement of net investment hedges</t>
  </si>
  <si>
    <t>Proceeds from asset disposals and other</t>
  </si>
  <si>
    <t>Net cash used in investing activities</t>
  </si>
  <si>
    <t>FINANCING</t>
  </si>
  <si>
    <t>Net increase in notes payable</t>
  </si>
  <si>
    <t>Additions to long-term debt, net of debt issuance costs</t>
  </si>
  <si>
    <t>Repayments of long-term debt, including current portion</t>
  </si>
  <si>
    <t>Payments for purchase of treasury stock</t>
  </si>
  <si>
    <t>Payments for stock-based compensation items</t>
  </si>
  <si>
    <t>Dividends paid to BorgWarner stockholders</t>
  </si>
  <si>
    <t>Dividends paid to noncontrolling stockholders</t>
  </si>
  <si>
    <t>Net cash used in financing activities</t>
  </si>
  <si>
    <t>Effect of exchange rate changes on cash</t>
  </si>
  <si>
    <t>Net decrease in cash</t>
  </si>
  <si>
    <t>Cash and restricted cash at beginning of year</t>
  </si>
  <si>
    <t>Cash and restricted cash at end of period</t>
  </si>
  <si>
    <t>SUPPLEMENTAL CASH FLOW INFORMATION</t>
  </si>
  <si>
    <t>Cash paid during the period for:</t>
  </si>
  <si>
    <t>Interest</t>
  </si>
  <si>
    <t>Income taxes, net of refunds</t>
  </si>
  <si>
    <t>ASSETS</t>
  </si>
  <si>
    <t>Cash</t>
  </si>
  <si>
    <t>Restricted cash</t>
  </si>
  <si>
    <t>Receivables, net</t>
  </si>
  <si>
    <t>Inventories, net</t>
  </si>
  <si>
    <t>Assets held for sale</t>
  </si>
  <si>
    <t>Total current assets</t>
  </si>
  <si>
    <t>Property, plant and equipment, net</t>
  </si>
  <si>
    <t>Investments and other long-term receivables</t>
  </si>
  <si>
    <t>Goodwill</t>
  </si>
  <si>
    <t>Other intangible assets, net</t>
  </si>
  <si>
    <t>Other non-current assets</t>
  </si>
  <si>
    <t>Total assets</t>
  </si>
  <si>
    <t>LIABILITIES AND EQUITY</t>
  </si>
  <si>
    <t>Notes payable and other short-term debt</t>
  </si>
  <si>
    <t>Income taxes payable</t>
  </si>
  <si>
    <t>Liabilities held for sale</t>
  </si>
  <si>
    <t>Total current liabilities</t>
  </si>
  <si>
    <t>Long-term debt</t>
  </si>
  <si>
    <t>Other non-current liabilities:</t>
  </si>
  <si>
    <t>Asbestos-related liability</t>
  </si>
  <si>
    <t>Retirement-related liabilities</t>
  </si>
  <si>
    <t>Other</t>
  </si>
  <si>
    <t>Total other non-current liabilities</t>
  </si>
  <si>
    <t>Common stock</t>
  </si>
  <si>
    <t>Capital in excess of par value</t>
  </si>
  <si>
    <t>Retained earnings</t>
  </si>
  <si>
    <t>Accumulated other comprehensive loss</t>
  </si>
  <si>
    <t>Common stock held in treasury</t>
  </si>
  <si>
    <t>Total BorgWarner Inc. stockholders’ equity</t>
  </si>
  <si>
    <t>Noncontrolling interest</t>
  </si>
  <si>
    <t>Total equity</t>
  </si>
  <si>
    <t>Total liabilities and equity</t>
  </si>
  <si>
    <t>Preferred Stock, Par or Stated Value Per Share</t>
  </si>
  <si>
    <t>Preferred Stock, Shares Authorized</t>
  </si>
  <si>
    <t>Preferred Stock, Shares Issued</t>
  </si>
  <si>
    <t>Common Stock, Par or Stated Value Per Share</t>
  </si>
  <si>
    <t>Common Stock, Shares Authorized</t>
  </si>
  <si>
    <t>Common Stock, Shares, Issued</t>
  </si>
  <si>
    <t>Common Stock, Shares, Outstanding</t>
  </si>
  <si>
    <t>Treasury Stock, Shares</t>
  </si>
  <si>
    <t>Nonvoting Common Stock [Member]</t>
  </si>
  <si>
    <t>Capital stock:</t>
  </si>
  <si>
    <t>Total Liabilities</t>
  </si>
  <si>
    <t>Stocks:</t>
  </si>
  <si>
    <t>Tally</t>
  </si>
  <si>
    <t>-</t>
  </si>
  <si>
    <t>Property, plant and equipment, net:</t>
  </si>
  <si>
    <t>Land and land use rights</t>
  </si>
  <si>
    <t>Opening</t>
  </si>
  <si>
    <t>Capex (Addition/deletion)</t>
  </si>
  <si>
    <t>Closing</t>
  </si>
  <si>
    <t>Capex as % of Sales</t>
  </si>
  <si>
    <t>Machinery and equipment</t>
  </si>
  <si>
    <t>Construction in progress</t>
  </si>
  <si>
    <t>Total Capex</t>
  </si>
  <si>
    <t>Opening accumulated dep</t>
  </si>
  <si>
    <t>Dep during the year</t>
  </si>
  <si>
    <t>Closing accumulated dep</t>
  </si>
  <si>
    <t>Dep as a % of net assets</t>
  </si>
  <si>
    <t>Tooling, net of amortization</t>
  </si>
  <si>
    <t>ASSETS:</t>
  </si>
  <si>
    <t>Current assets:</t>
  </si>
  <si>
    <t>Cash and cash equivalents</t>
  </si>
  <si>
    <t>Non-current assets:</t>
  </si>
  <si>
    <t>Total non-current assets</t>
  </si>
  <si>
    <t>LIABILITIES AND SHAREHOLDERS’ EQUITY:</t>
  </si>
  <si>
    <t>Current liabilities:</t>
  </si>
  <si>
    <t>Asbestos-related liabilities</t>
  </si>
  <si>
    <t>Total liabilities</t>
  </si>
  <si>
    <t>Preferred stock, $0.01 par value; authorized shares: 5,000,000; none issued and outstanding</t>
  </si>
  <si>
    <t>Common stock, $0.01 par value; authorized shares: 390,000,000; issued shares: -2019 - 246,387,057; 2018 - 246,387,057; outstanding shares: -2019 - 206,407,543; 2018 - 208,214,934</t>
  </si>
  <si>
    <t>Non-voting common stock, $0.01 par value; authorized shares: 25,000,000; none issued and outstanding</t>
  </si>
  <si>
    <t>Common stock held in treasury, at cost: -2019 - 39,979,514 shares; 2018 - 38,172,123 shares</t>
  </si>
  <si>
    <t>B/S Tally</t>
  </si>
  <si>
    <t>Non-cash charges -credits) to operations:</t>
  </si>
  <si>
    <t>Deferred income tax provision -benefit)</t>
  </si>
  <si>
    <t>Prepaid taxes and income taxes payable</t>
  </si>
  <si>
    <t>Payments for investments in equity securities</t>
  </si>
  <si>
    <t>Payments for businesses acquired, including restricted cash, net of cash acquired</t>
  </si>
  <si>
    <t>Proceeds from sale of businesses, net of cash divested</t>
  </si>
  <si>
    <t>Proceeds from -payments for) settlement of net investment hedges</t>
  </si>
  <si>
    <t>Net decrease in notes payable</t>
  </si>
  <si>
    <t>Additions to debt, net of debt issuance costs</t>
  </si>
  <si>
    <t>Repayments of long term debt, including current portion</t>
  </si>
  <si>
    <t>Payments for debt issuance cost</t>
  </si>
  <si>
    <t>Capital contribution from noncontrolling interest</t>
  </si>
  <si>
    <t>Net increase in cash and cash equivalents</t>
  </si>
  <si>
    <t>Cash and cash equivalents at beginning of year</t>
  </si>
  <si>
    <t>Cash and cash equivalents at end of year</t>
  </si>
  <si>
    <t>Income Statement</t>
  </si>
  <si>
    <t>Cost of sales AS % OF SALES</t>
  </si>
  <si>
    <t>Selling, general and administrative expenses as a % of sales</t>
  </si>
  <si>
    <t>Short-term debt</t>
  </si>
  <si>
    <t>Short-term borrowings</t>
  </si>
  <si>
    <t>Term loan facilities and other</t>
  </si>
  <si>
    <t>Total long-term debt</t>
  </si>
  <si>
    <t>Less: current portion</t>
  </si>
  <si>
    <t>Long-term debt, net of current portion</t>
  </si>
  <si>
    <t>Interest income as a % of cash and cash equivalents</t>
  </si>
  <si>
    <t>Interest income:</t>
  </si>
  <si>
    <t>Other postretirement expense (income) as a % of sales</t>
  </si>
  <si>
    <t>Balance Sheet</t>
  </si>
  <si>
    <t>8.00% </t>
  </si>
  <si>
    <t>Senior notes due 10/01/19 ($134 million par value)</t>
  </si>
  <si>
    <t>Opening Balance</t>
  </si>
  <si>
    <t>Issuance/Repayment</t>
  </si>
  <si>
    <t>Closing Balance</t>
  </si>
  <si>
    <t>Interest Expense</t>
  </si>
  <si>
    <t>Senior notes due 09/15/20 ($250 million par value)</t>
  </si>
  <si>
    <t>Senior notes due 11/7/22 (€500 million par value)</t>
  </si>
  <si>
    <t>Senior notes due 03/15/25 ($500 million par value)</t>
  </si>
  <si>
    <t> Senior notes due 02/15/29 ($121 million par value)</t>
  </si>
  <si>
    <t xml:space="preserve"> Senior notes due 03/15/45 ($500 million par value)</t>
  </si>
  <si>
    <t>% of long term portion</t>
  </si>
  <si>
    <t>Total Interest</t>
  </si>
  <si>
    <t>Total issuance</t>
  </si>
  <si>
    <t>Receivables, net as a % of sales</t>
  </si>
  <si>
    <t>Inventories, net as a % of cost of sales</t>
  </si>
  <si>
    <t>Property, plant and equipment — gross</t>
  </si>
  <si>
    <t>Property, plant and equipment — net, excluding tooling</t>
  </si>
  <si>
    <t>Building</t>
  </si>
  <si>
    <t>Property, plant and equipment, net</t>
  </si>
  <si>
    <t>Accounts payable and accrued expenses as a % of sales</t>
  </si>
  <si>
    <t>1Q18</t>
  </si>
  <si>
    <t>2Q18</t>
  </si>
  <si>
    <t>3Q18</t>
  </si>
  <si>
    <t>4Q18</t>
  </si>
  <si>
    <t>1Q19</t>
  </si>
  <si>
    <t>2Q19</t>
  </si>
  <si>
    <t>3Q19</t>
  </si>
  <si>
    <t>4Q19</t>
  </si>
  <si>
    <t>1Q20</t>
  </si>
  <si>
    <t>2Q20</t>
  </si>
  <si>
    <t>3Q20</t>
  </si>
  <si>
    <t>4Q20</t>
  </si>
  <si>
    <t>1Q21</t>
  </si>
  <si>
    <t>2Q21</t>
  </si>
  <si>
    <t>3Q21</t>
  </si>
  <si>
    <t>4Q21</t>
  </si>
  <si>
    <t>(Revenue drivers)</t>
  </si>
  <si>
    <t>NET REVENUE based on products</t>
  </si>
  <si>
    <t>FY2018</t>
  </si>
  <si>
    <t>FY2019</t>
  </si>
  <si>
    <t>FY2020</t>
  </si>
  <si>
    <t>FY2021</t>
  </si>
  <si>
    <t>Number of common shares</t>
  </si>
  <si>
    <t>Diluted number of shares</t>
  </si>
  <si>
    <t>DIVIDEND PER SHARE</t>
  </si>
  <si>
    <t>Less Accumulated Depreciation:</t>
  </si>
  <si>
    <t>(FIX ASSET MODULE)</t>
  </si>
  <si>
    <t>(DEBT REPAYMENT SCHEDULE)</t>
  </si>
  <si>
    <t>(CASH FLOW STATEMENT)</t>
  </si>
  <si>
    <t>(BALANCE SHEET)</t>
  </si>
  <si>
    <t>(INCOME STATEMENT)</t>
  </si>
  <si>
    <t>BorgWarner Inc. (BWA)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</si>
</sst>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64" formatCode="mmm\-yyyy"/>
    <numFmt numFmtId="165" formatCode="_(* #,##0.0_);_(* \(#,##0.0\);_(* &quot;-&quot;??_);_(@_)"/>
    <numFmt numFmtId="166" formatCode="0.0"/>
    <numFmt numFmtId="167" formatCode="0.0%"/>
    <numFmt numFmtId="168" formatCode="mmm\ yy"/>
  </numFmts>
  <fonts count="5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Inherit"/>
    </font>
    <font>
      <b/>
      <sz val="13"/>
      <color theme="1"/>
      <name val="Calibri"/>
      <family val="2"/>
      <scheme val="minor"/>
    </font>
    <font>
      <i/>
      <sz val="11"/>
      <color theme="4" tint="-0.499984740745262"/>
      <name val="Inherit"/>
    </font>
    <font>
      <i/>
      <sz val="11"/>
      <color theme="4" tint="-0.499984740745262"/>
      <name val="Calibri"/>
      <family val="2"/>
      <scheme val="minor"/>
    </font>
    <font>
      <b/>
      <sz val="13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Inherit"/>
    </font>
    <font>
      <sz val="12"/>
      <color theme="0"/>
      <name val="Calibri"/>
      <family val="2"/>
      <scheme val="minor"/>
    </font>
    <font>
      <sz val="9"/>
      <color indexed="81"/>
      <name val="Tahoma"/>
      <family val="2"/>
    </font>
    <font>
      <sz val="10"/>
      <color theme="1"/>
      <name val="Inherit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rgb="FF212529"/>
      <name val="Arial"/>
      <family val="2"/>
    </font>
    <font>
      <b/>
      <u/>
      <sz val="15"/>
      <color theme="1"/>
      <name val="Calibri"/>
      <family val="2"/>
      <scheme val="minor"/>
    </font>
    <font>
      <u/>
      <sz val="12"/>
      <color theme="1"/>
      <name val="Times New Roman"/>
      <family val="1"/>
    </font>
    <font>
      <u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212529"/>
      <name val="Times New Roman"/>
      <family val="1"/>
    </font>
    <font>
      <b/>
      <sz val="18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9"/>
      <color theme="0"/>
      <name val="Calibri"/>
      <family val="2"/>
      <scheme val="minor"/>
    </font>
    <font>
      <b/>
      <u/>
      <sz val="11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i/>
      <sz val="9"/>
      <color rgb="FF0070C0"/>
      <name val="Arial"/>
      <family val="2"/>
    </font>
    <font>
      <b/>
      <u/>
      <sz val="9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212529"/>
      <name val="Arial"/>
      <family val="2"/>
    </font>
    <font>
      <sz val="10"/>
      <color rgb="FF212529"/>
      <name val="Arial"/>
      <family val="2"/>
    </font>
    <font>
      <b/>
      <sz val="10"/>
      <color theme="1"/>
      <name val="Calibri"/>
      <family val="2"/>
      <scheme val="minor"/>
    </font>
    <font>
      <b/>
      <u/>
      <sz val="10"/>
      <color theme="1"/>
      <name val="Inherit"/>
    </font>
    <font>
      <sz val="9"/>
      <color rgb="FF212529"/>
      <name val="Arial"/>
      <family val="2"/>
    </font>
    <font>
      <i/>
      <sz val="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9"/>
      <color theme="0"/>
      <name val="Arial"/>
      <family val="2"/>
    </font>
    <font>
      <b/>
      <sz val="18"/>
      <color theme="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theme="1"/>
      </left>
      <right/>
      <top/>
      <bottom/>
      <diagonal/>
    </border>
    <border>
      <left/>
      <right style="hair">
        <color theme="1"/>
      </right>
      <top/>
      <bottom/>
      <diagonal/>
    </border>
    <border>
      <left style="hair">
        <color theme="1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theme="1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theme="0"/>
      </bottom>
      <diagonal/>
    </border>
    <border>
      <left/>
      <right/>
      <top style="hair">
        <color theme="0"/>
      </top>
      <bottom/>
      <diagonal/>
    </border>
    <border>
      <left style="hair">
        <color theme="1"/>
      </left>
      <right/>
      <top style="hair">
        <color auto="1"/>
      </top>
      <bottom/>
      <diagonal/>
    </border>
    <border>
      <left/>
      <right style="hair">
        <color theme="1"/>
      </right>
      <top style="hair">
        <color auto="1"/>
      </top>
      <bottom/>
      <diagonal/>
    </border>
    <border>
      <left/>
      <right/>
      <top style="medium">
        <color auto="1"/>
      </top>
      <bottom/>
      <diagonal/>
    </border>
    <border>
      <left style="hair">
        <color theme="1"/>
      </left>
      <right/>
      <top style="medium">
        <color auto="1"/>
      </top>
      <bottom/>
      <diagonal/>
    </border>
    <border>
      <left/>
      <right style="hair">
        <color theme="1"/>
      </right>
      <top style="medium">
        <color auto="1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medium">
        <color auto="1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hair">
        <color auto="1"/>
      </bottom>
      <diagonal/>
    </border>
  </borders>
  <cellStyleXfs count="4">
    <xf numFmtId="0" fontId="0" fillId="0" borderId="0"/>
    <xf numFmtId="0" fontId="5" fillId="0" borderId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362">
    <xf numFmtId="0" fontId="0" fillId="0" borderId="0" xfId="0"/>
    <xf numFmtId="0" fontId="0" fillId="2" borderId="0" xfId="0" applyFill="1"/>
    <xf numFmtId="0" fontId="2" fillId="3" borderId="0" xfId="0" applyFont="1" applyFill="1"/>
    <xf numFmtId="164" fontId="2" fillId="3" borderId="0" xfId="0" applyNumberFormat="1" applyFont="1" applyFill="1"/>
    <xf numFmtId="164" fontId="2" fillId="3" borderId="1" xfId="0" applyNumberFormat="1" applyFont="1" applyFill="1" applyBorder="1"/>
    <xf numFmtId="0" fontId="4" fillId="3" borderId="0" xfId="0" applyFont="1" applyFill="1"/>
    <xf numFmtId="0" fontId="1" fillId="2" borderId="0" xfId="0" applyFont="1" applyFill="1"/>
    <xf numFmtId="0" fontId="1" fillId="0" borderId="0" xfId="0" applyFont="1"/>
    <xf numFmtId="3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3" fontId="7" fillId="0" borderId="0" xfId="0" applyNumberFormat="1" applyFont="1" applyFill="1" applyBorder="1"/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 indent="1"/>
    </xf>
    <xf numFmtId="3" fontId="9" fillId="0" borderId="0" xfId="0" applyNumberFormat="1" applyFont="1" applyFill="1" applyBorder="1"/>
    <xf numFmtId="10" fontId="9" fillId="0" borderId="0" xfId="0" applyNumberFormat="1" applyFont="1" applyFill="1" applyBorder="1"/>
    <xf numFmtId="10" fontId="9" fillId="4" borderId="0" xfId="0" applyNumberFormat="1" applyFont="1" applyFill="1" applyBorder="1"/>
    <xf numFmtId="0" fontId="0" fillId="0" borderId="0" xfId="0" applyFill="1" applyBorder="1"/>
    <xf numFmtId="0" fontId="1" fillId="0" borderId="0" xfId="0" applyFont="1" applyFill="1" applyBorder="1"/>
    <xf numFmtId="0" fontId="3" fillId="0" borderId="0" xfId="0" applyFont="1" applyFill="1" applyBorder="1"/>
    <xf numFmtId="0" fontId="10" fillId="0" borderId="0" xfId="0" applyFont="1" applyAlignment="1">
      <alignment horizontal="center"/>
    </xf>
    <xf numFmtId="17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/>
    <xf numFmtId="0" fontId="0" fillId="4" borderId="0" xfId="0" applyFill="1" applyBorder="1"/>
    <xf numFmtId="0" fontId="1" fillId="4" borderId="0" xfId="0" applyFont="1" applyFill="1" applyBorder="1"/>
    <xf numFmtId="3" fontId="7" fillId="4" borderId="0" xfId="0" applyNumberFormat="1" applyFont="1" applyFill="1" applyBorder="1"/>
    <xf numFmtId="0" fontId="7" fillId="4" borderId="0" xfId="0" applyFont="1" applyFill="1" applyBorder="1"/>
    <xf numFmtId="0" fontId="1" fillId="0" borderId="0" xfId="0" applyFont="1" applyBorder="1"/>
    <xf numFmtId="0" fontId="2" fillId="3" borderId="2" xfId="0" applyFont="1" applyFill="1" applyBorder="1" applyAlignment="1"/>
    <xf numFmtId="0" fontId="1" fillId="0" borderId="3" xfId="0" applyFont="1" applyBorder="1"/>
    <xf numFmtId="0" fontId="12" fillId="5" borderId="0" xfId="0" applyFont="1" applyFill="1" applyAlignment="1">
      <alignment vertical="center"/>
    </xf>
    <xf numFmtId="0" fontId="16" fillId="5" borderId="0" xfId="0" applyFont="1" applyFill="1" applyAlignment="1">
      <alignment horizontal="left" vertical="center"/>
    </xf>
    <xf numFmtId="0" fontId="16" fillId="5" borderId="3" xfId="0" applyFont="1" applyFill="1" applyBorder="1" applyAlignment="1">
      <alignment vertical="center"/>
    </xf>
    <xf numFmtId="0" fontId="12" fillId="5" borderId="3" xfId="0" applyFont="1" applyFill="1" applyBorder="1" applyAlignment="1">
      <alignment horizontal="left" vertical="center"/>
    </xf>
    <xf numFmtId="0" fontId="12" fillId="5" borderId="3" xfId="0" applyFont="1" applyFill="1" applyBorder="1" applyAlignment="1">
      <alignment vertical="center"/>
    </xf>
    <xf numFmtId="0" fontId="12" fillId="5" borderId="0" xfId="0" applyFont="1" applyFill="1" applyBorder="1" applyAlignment="1">
      <alignment vertical="center"/>
    </xf>
    <xf numFmtId="0" fontId="0" fillId="6" borderId="0" xfId="0" applyFill="1" applyBorder="1"/>
    <xf numFmtId="3" fontId="7" fillId="6" borderId="0" xfId="0" applyNumberFormat="1" applyFont="1" applyFill="1" applyBorder="1"/>
    <xf numFmtId="10" fontId="9" fillId="6" borderId="0" xfId="0" applyNumberFormat="1" applyFont="1" applyFill="1" applyBorder="1"/>
    <xf numFmtId="0" fontId="7" fillId="6" borderId="0" xfId="0" applyFont="1" applyFill="1" applyBorder="1"/>
    <xf numFmtId="0" fontId="1" fillId="6" borderId="0" xfId="0" applyFont="1" applyFill="1" applyBorder="1"/>
    <xf numFmtId="0" fontId="5" fillId="0" borderId="0" xfId="0" applyFont="1" applyBorder="1"/>
    <xf numFmtId="0" fontId="3" fillId="0" borderId="0" xfId="0" applyFont="1" applyBorder="1"/>
    <xf numFmtId="0" fontId="17" fillId="0" borderId="0" xfId="0" applyFont="1" applyBorder="1"/>
    <xf numFmtId="9" fontId="0" fillId="0" borderId="0" xfId="2" applyFont="1"/>
    <xf numFmtId="10" fontId="0" fillId="0" borderId="0" xfId="2" applyNumberFormat="1" applyFont="1"/>
    <xf numFmtId="0" fontId="15" fillId="0" borderId="0" xfId="0" applyFont="1" applyFill="1" applyAlignment="1">
      <alignment horizontal="left" vertical="center"/>
    </xf>
    <xf numFmtId="0" fontId="0" fillId="0" borderId="0" xfId="0"/>
    <xf numFmtId="0" fontId="0" fillId="0" borderId="0" xfId="0" applyFill="1"/>
    <xf numFmtId="164" fontId="2" fillId="3" borderId="1" xfId="0" applyNumberFormat="1" applyFont="1" applyFill="1" applyBorder="1"/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right" vertical="center"/>
    </xf>
    <xf numFmtId="0" fontId="14" fillId="0" borderId="0" xfId="0" applyFont="1" applyFill="1" applyAlignment="1"/>
    <xf numFmtId="0" fontId="14" fillId="0" borderId="0" xfId="0" applyFont="1" applyFill="1" applyAlignment="1">
      <alignment vertical="center"/>
    </xf>
    <xf numFmtId="0" fontId="0" fillId="6" borderId="0" xfId="0" applyFill="1"/>
    <xf numFmtId="0" fontId="15" fillId="0" borderId="0" xfId="0" applyFont="1" applyFill="1" applyAlignment="1">
      <alignment vertical="center"/>
    </xf>
    <xf numFmtId="1" fontId="1" fillId="6" borderId="0" xfId="0" applyNumberFormat="1" applyFont="1" applyFill="1"/>
    <xf numFmtId="0" fontId="14" fillId="0" borderId="0" xfId="0" applyFont="1" applyFill="1" applyBorder="1" applyAlignment="1">
      <alignment horizontal="right" vertical="center"/>
    </xf>
    <xf numFmtId="1" fontId="0" fillId="6" borderId="0" xfId="0" applyNumberFormat="1" applyFill="1" applyBorder="1"/>
    <xf numFmtId="1" fontId="7" fillId="6" borderId="0" xfId="0" applyNumberFormat="1" applyFont="1" applyFill="1" applyBorder="1"/>
    <xf numFmtId="1" fontId="1" fillId="6" borderId="3" xfId="0" applyNumberFormat="1" applyFont="1" applyFill="1" applyBorder="1"/>
    <xf numFmtId="1" fontId="9" fillId="6" borderId="0" xfId="0" applyNumberFormat="1" applyFont="1" applyFill="1" applyBorder="1"/>
    <xf numFmtId="1" fontId="1" fillId="6" borderId="0" xfId="0" applyNumberFormat="1" applyFont="1" applyFill="1" applyBorder="1"/>
    <xf numFmtId="0" fontId="15" fillId="0" borderId="0" xfId="0" applyFont="1" applyFill="1" applyBorder="1" applyAlignment="1">
      <alignment horizontal="right" vertical="center"/>
    </xf>
    <xf numFmtId="0" fontId="3" fillId="2" borderId="0" xfId="0" applyFont="1" applyFill="1"/>
    <xf numFmtId="0" fontId="3" fillId="0" borderId="0" xfId="0" applyFont="1"/>
    <xf numFmtId="0" fontId="22" fillId="0" borderId="4" xfId="0" applyFont="1" applyFill="1" applyBorder="1" applyAlignment="1">
      <alignment horizontal="left" vertical="center"/>
    </xf>
    <xf numFmtId="0" fontId="22" fillId="0" borderId="5" xfId="0" applyFont="1" applyFill="1" applyBorder="1" applyAlignment="1">
      <alignment horizontal="right" vertical="center"/>
    </xf>
    <xf numFmtId="0" fontId="22" fillId="0" borderId="6" xfId="0" applyFont="1" applyFill="1" applyBorder="1" applyAlignment="1">
      <alignment horizontal="right" vertical="center"/>
    </xf>
    <xf numFmtId="0" fontId="0" fillId="4" borderId="0" xfId="0" applyFill="1"/>
    <xf numFmtId="0" fontId="1" fillId="4" borderId="0" xfId="0" applyFont="1" applyFill="1"/>
    <xf numFmtId="0" fontId="14" fillId="0" borderId="0" xfId="0" applyFont="1" applyFill="1" applyBorder="1" applyAlignment="1">
      <alignment horizontal="left" vertical="center"/>
    </xf>
    <xf numFmtId="0" fontId="0" fillId="0" borderId="0" xfId="0"/>
    <xf numFmtId="0" fontId="0" fillId="0" borderId="0" xfId="0" applyFill="1"/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right" vertical="center"/>
    </xf>
    <xf numFmtId="0" fontId="14" fillId="0" borderId="0" xfId="0" applyFont="1" applyFill="1" applyAlignment="1"/>
    <xf numFmtId="0" fontId="14" fillId="0" borderId="8" xfId="0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4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horizontal="right" vertical="center"/>
    </xf>
    <xf numFmtId="0" fontId="14" fillId="4" borderId="0" xfId="0" applyFont="1" applyFill="1" applyAlignment="1">
      <alignment vertical="center"/>
    </xf>
    <xf numFmtId="0" fontId="14" fillId="4" borderId="7" xfId="0" applyFont="1" applyFill="1" applyBorder="1" applyAlignment="1">
      <alignment horizontal="right" vertical="center"/>
    </xf>
    <xf numFmtId="0" fontId="0" fillId="4" borderId="0" xfId="0" applyFill="1"/>
    <xf numFmtId="0" fontId="14" fillId="4" borderId="0" xfId="0" applyFont="1" applyFill="1" applyAlignment="1">
      <alignment horizontal="right" vertical="center"/>
    </xf>
    <xf numFmtId="0" fontId="14" fillId="4" borderId="0" xfId="0" applyFont="1" applyFill="1" applyBorder="1" applyAlignment="1">
      <alignment horizontal="right" vertical="center"/>
    </xf>
    <xf numFmtId="0" fontId="0" fillId="7" borderId="0" xfId="0" applyFill="1"/>
    <xf numFmtId="17" fontId="2" fillId="3" borderId="0" xfId="0" applyNumberFormat="1" applyFont="1" applyFill="1"/>
    <xf numFmtId="0" fontId="1" fillId="6" borderId="0" xfId="0" applyFont="1" applyFill="1"/>
    <xf numFmtId="0" fontId="23" fillId="3" borderId="0" xfId="0" applyFont="1" applyFill="1"/>
    <xf numFmtId="3" fontId="14" fillId="0" borderId="0" xfId="0" applyNumberFormat="1" applyFont="1" applyFill="1" applyAlignment="1">
      <alignment vertical="center"/>
    </xf>
    <xf numFmtId="1" fontId="0" fillId="6" borderId="0" xfId="0" applyNumberFormat="1" applyFill="1"/>
    <xf numFmtId="3" fontId="15" fillId="0" borderId="0" xfId="0" applyNumberFormat="1" applyFont="1" applyFill="1" applyAlignment="1">
      <alignment vertical="center"/>
    </xf>
    <xf numFmtId="0" fontId="15" fillId="0" borderId="4" xfId="0" applyFont="1" applyFill="1" applyBorder="1" applyAlignment="1">
      <alignment vertical="center"/>
    </xf>
    <xf numFmtId="3" fontId="15" fillId="0" borderId="5" xfId="0" applyNumberFormat="1" applyFont="1" applyFill="1" applyBorder="1" applyAlignment="1">
      <alignment vertical="center"/>
    </xf>
    <xf numFmtId="3" fontId="1" fillId="0" borderId="0" xfId="0" applyNumberFormat="1" applyFont="1"/>
    <xf numFmtId="0" fontId="1" fillId="7" borderId="0" xfId="0" applyFont="1" applyFill="1"/>
    <xf numFmtId="3" fontId="0" fillId="6" borderId="0" xfId="0" applyNumberFormat="1" applyFill="1"/>
    <xf numFmtId="0" fontId="0" fillId="6" borderId="10" xfId="0" applyFill="1" applyBorder="1"/>
    <xf numFmtId="0" fontId="28" fillId="0" borderId="0" xfId="0" applyFont="1"/>
    <xf numFmtId="0" fontId="25" fillId="0" borderId="0" xfId="0" applyFont="1" applyFill="1" applyAlignment="1">
      <alignment vertical="top"/>
    </xf>
    <xf numFmtId="9" fontId="0" fillId="6" borderId="0" xfId="0" applyNumberFormat="1" applyFill="1"/>
    <xf numFmtId="0" fontId="2" fillId="3" borderId="0" xfId="0" applyFont="1" applyFill="1" applyBorder="1" applyAlignment="1"/>
    <xf numFmtId="0" fontId="24" fillId="0" borderId="0" xfId="0" applyFont="1"/>
    <xf numFmtId="0" fontId="0" fillId="2" borderId="0" xfId="0" applyNumberFormat="1" applyFill="1"/>
    <xf numFmtId="1" fontId="0" fillId="6" borderId="0" xfId="0" applyNumberFormat="1" applyFont="1" applyFill="1" applyBorder="1"/>
    <xf numFmtId="10" fontId="0" fillId="0" borderId="0" xfId="0" applyNumberFormat="1" applyAlignment="1">
      <alignment horizontal="center"/>
    </xf>
    <xf numFmtId="0" fontId="0" fillId="0" borderId="10" xfId="0" applyBorder="1"/>
    <xf numFmtId="166" fontId="0" fillId="6" borderId="0" xfId="0" applyNumberFormat="1" applyFill="1"/>
    <xf numFmtId="165" fontId="1" fillId="6" borderId="0" xfId="0" applyNumberFormat="1" applyFont="1" applyFill="1"/>
    <xf numFmtId="0" fontId="2" fillId="3" borderId="0" xfId="0" applyNumberFormat="1" applyFont="1" applyFill="1"/>
    <xf numFmtId="0" fontId="0" fillId="9" borderId="0" xfId="0" applyFill="1"/>
    <xf numFmtId="9" fontId="0" fillId="9" borderId="0" xfId="2" applyFont="1" applyFill="1"/>
    <xf numFmtId="0" fontId="2" fillId="3" borderId="1" xfId="0" applyNumberFormat="1" applyFont="1" applyFill="1" applyBorder="1"/>
    <xf numFmtId="0" fontId="2" fillId="3" borderId="0" xfId="0" applyNumberFormat="1" applyFont="1" applyFill="1" applyBorder="1"/>
    <xf numFmtId="0" fontId="27" fillId="0" borderId="0" xfId="0" applyFont="1" applyFill="1" applyAlignment="1">
      <alignment vertical="center"/>
    </xf>
    <xf numFmtId="0" fontId="1" fillId="0" borderId="4" xfId="0" applyFont="1" applyFill="1" applyBorder="1"/>
    <xf numFmtId="3" fontId="1" fillId="0" borderId="5" xfId="0" applyNumberFormat="1" applyFont="1" applyFill="1" applyBorder="1"/>
    <xf numFmtId="0" fontId="2" fillId="0" borderId="0" xfId="0" applyFont="1" applyBorder="1"/>
    <xf numFmtId="164" fontId="2" fillId="3" borderId="0" xfId="0" applyNumberFormat="1" applyFont="1" applyFill="1" applyBorder="1"/>
    <xf numFmtId="0" fontId="2" fillId="3" borderId="0" xfId="0" applyFont="1" applyFill="1" applyBorder="1" applyAlignment="1">
      <alignment horizontal="center"/>
    </xf>
    <xf numFmtId="0" fontId="0" fillId="10" borderId="0" xfId="0" applyFill="1" applyBorder="1"/>
    <xf numFmtId="0" fontId="0" fillId="10" borderId="12" xfId="0" applyFill="1" applyBorder="1"/>
    <xf numFmtId="0" fontId="5" fillId="10" borderId="0" xfId="0" applyFont="1" applyFill="1" applyBorder="1"/>
    <xf numFmtId="0" fontId="2" fillId="3" borderId="16" xfId="0" applyFont="1" applyFill="1" applyBorder="1" applyAlignment="1">
      <alignment horizontal="center"/>
    </xf>
    <xf numFmtId="0" fontId="33" fillId="3" borderId="0" xfId="0" applyFont="1" applyFill="1"/>
    <xf numFmtId="0" fontId="34" fillId="3" borderId="0" xfId="0" applyFont="1" applyFill="1"/>
    <xf numFmtId="0" fontId="35" fillId="3" borderId="0" xfId="0" applyFont="1" applyFill="1"/>
    <xf numFmtId="0" fontId="36" fillId="3" borderId="0" xfId="0" applyFont="1" applyFill="1"/>
    <xf numFmtId="0" fontId="26" fillId="2" borderId="0" xfId="0" applyFont="1" applyFill="1"/>
    <xf numFmtId="0" fontId="37" fillId="0" borderId="0" xfId="0" applyFont="1"/>
    <xf numFmtId="0" fontId="0" fillId="10" borderId="0" xfId="0" applyFill="1"/>
    <xf numFmtId="0" fontId="38" fillId="0" borderId="0" xfId="0" applyFont="1"/>
    <xf numFmtId="3" fontId="38" fillId="0" borderId="11" xfId="0" applyNumberFormat="1" applyFont="1" applyBorder="1"/>
    <xf numFmtId="3" fontId="38" fillId="0" borderId="0" xfId="0" applyNumberFormat="1" applyFont="1" applyBorder="1"/>
    <xf numFmtId="3" fontId="38" fillId="0" borderId="12" xfId="0" applyNumberFormat="1" applyFont="1" applyBorder="1"/>
    <xf numFmtId="3" fontId="38" fillId="10" borderId="11" xfId="0" applyNumberFormat="1" applyFont="1" applyFill="1" applyBorder="1"/>
    <xf numFmtId="3" fontId="38" fillId="10" borderId="0" xfId="0" applyNumberFormat="1" applyFont="1" applyFill="1" applyBorder="1"/>
    <xf numFmtId="3" fontId="38" fillId="10" borderId="12" xfId="0" applyNumberFormat="1" applyFont="1" applyFill="1" applyBorder="1"/>
    <xf numFmtId="0" fontId="38" fillId="10" borderId="0" xfId="0" applyFont="1" applyFill="1"/>
    <xf numFmtId="0" fontId="12" fillId="0" borderId="9" xfId="0" applyFont="1" applyBorder="1"/>
    <xf numFmtId="3" fontId="12" fillId="0" borderId="17" xfId="0" applyNumberFormat="1" applyFont="1" applyBorder="1"/>
    <xf numFmtId="3" fontId="12" fillId="0" borderId="9" xfId="0" applyNumberFormat="1" applyFont="1" applyBorder="1"/>
    <xf numFmtId="3" fontId="12" fillId="0" borderId="18" xfId="0" applyNumberFormat="1" applyFont="1" applyBorder="1"/>
    <xf numFmtId="3" fontId="12" fillId="10" borderId="17" xfId="0" applyNumberFormat="1" applyFont="1" applyFill="1" applyBorder="1"/>
    <xf numFmtId="3" fontId="12" fillId="10" borderId="9" xfId="0" applyNumberFormat="1" applyFont="1" applyFill="1" applyBorder="1"/>
    <xf numFmtId="3" fontId="12" fillId="10" borderId="18" xfId="0" applyNumberFormat="1" applyFont="1" applyFill="1" applyBorder="1"/>
    <xf numFmtId="0" fontId="12" fillId="0" borderId="0" xfId="0" applyFont="1" applyBorder="1"/>
    <xf numFmtId="3" fontId="12" fillId="0" borderId="11" xfId="0" applyNumberFormat="1" applyFont="1" applyBorder="1"/>
    <xf numFmtId="3" fontId="12" fillId="0" borderId="0" xfId="0" applyNumberFormat="1" applyFont="1" applyBorder="1"/>
    <xf numFmtId="3" fontId="12" fillId="0" borderId="12" xfId="0" applyNumberFormat="1" applyFont="1" applyBorder="1"/>
    <xf numFmtId="3" fontId="12" fillId="10" borderId="11" xfId="0" applyNumberFormat="1" applyFont="1" applyFill="1" applyBorder="1"/>
    <xf numFmtId="3" fontId="12" fillId="10" borderId="0" xfId="0" applyNumberFormat="1" applyFont="1" applyFill="1" applyBorder="1"/>
    <xf numFmtId="3" fontId="12" fillId="10" borderId="12" xfId="0" applyNumberFormat="1" applyFont="1" applyFill="1" applyBorder="1"/>
    <xf numFmtId="0" fontId="12" fillId="0" borderId="0" xfId="0" applyFont="1"/>
    <xf numFmtId="0" fontId="12" fillId="0" borderId="19" xfId="0" applyFont="1" applyBorder="1"/>
    <xf numFmtId="3" fontId="12" fillId="0" borderId="20" xfId="0" applyNumberFormat="1" applyFont="1" applyBorder="1"/>
    <xf numFmtId="3" fontId="12" fillId="0" borderId="19" xfId="0" applyNumberFormat="1" applyFont="1" applyBorder="1"/>
    <xf numFmtId="3" fontId="12" fillId="0" borderId="21" xfId="0" applyNumberFormat="1" applyFont="1" applyBorder="1"/>
    <xf numFmtId="3" fontId="12" fillId="10" borderId="20" xfId="0" applyNumberFormat="1" applyFont="1" applyFill="1" applyBorder="1"/>
    <xf numFmtId="3" fontId="12" fillId="10" borderId="19" xfId="0" applyNumberFormat="1" applyFont="1" applyFill="1" applyBorder="1"/>
    <xf numFmtId="3" fontId="12" fillId="10" borderId="21" xfId="0" applyNumberFormat="1" applyFont="1" applyFill="1" applyBorder="1"/>
    <xf numFmtId="0" fontId="12" fillId="0" borderId="4" xfId="0" applyFont="1" applyBorder="1"/>
    <xf numFmtId="3" fontId="12" fillId="0" borderId="13" xfId="0" applyNumberFormat="1" applyFont="1" applyBorder="1"/>
    <xf numFmtId="3" fontId="12" fillId="0" borderId="5" xfId="0" applyNumberFormat="1" applyFont="1" applyBorder="1"/>
    <xf numFmtId="3" fontId="12" fillId="0" borderId="14" xfId="0" applyNumberFormat="1" applyFont="1" applyBorder="1"/>
    <xf numFmtId="3" fontId="12" fillId="10" borderId="13" xfId="0" applyNumberFormat="1" applyFont="1" applyFill="1" applyBorder="1"/>
    <xf numFmtId="3" fontId="12" fillId="10" borderId="5" xfId="0" applyNumberFormat="1" applyFont="1" applyFill="1" applyBorder="1"/>
    <xf numFmtId="3" fontId="12" fillId="10" borderId="14" xfId="0" applyNumberFormat="1" applyFont="1" applyFill="1" applyBorder="1"/>
    <xf numFmtId="3" fontId="12" fillId="10" borderId="6" xfId="0" applyNumberFormat="1" applyFont="1" applyFill="1" applyBorder="1"/>
    <xf numFmtId="0" fontId="38" fillId="0" borderId="0" xfId="0" applyFont="1" applyBorder="1"/>
    <xf numFmtId="168" fontId="23" fillId="3" borderId="0" xfId="0" applyNumberFormat="1" applyFont="1" applyFill="1" applyBorder="1" applyAlignment="1">
      <alignment horizontal="center"/>
    </xf>
    <xf numFmtId="168" fontId="2" fillId="3" borderId="0" xfId="0" applyNumberFormat="1" applyFont="1" applyFill="1" applyBorder="1" applyAlignment="1">
      <alignment horizontal="center"/>
    </xf>
    <xf numFmtId="168" fontId="2" fillId="3" borderId="0" xfId="0" applyNumberFormat="1" applyFont="1" applyFill="1" applyAlignment="1">
      <alignment horizontal="center"/>
    </xf>
    <xf numFmtId="0" fontId="39" fillId="0" borderId="0" xfId="0" applyFont="1"/>
    <xf numFmtId="0" fontId="25" fillId="0" borderId="0" xfId="0" applyFont="1"/>
    <xf numFmtId="0" fontId="12" fillId="0" borderId="0" xfId="0" applyFont="1" applyFill="1" applyBorder="1" applyAlignment="1">
      <alignment horizontal="left" vertical="center"/>
    </xf>
    <xf numFmtId="0" fontId="38" fillId="0" borderId="11" xfId="0" applyFont="1" applyBorder="1"/>
    <xf numFmtId="1" fontId="38" fillId="0" borderId="0" xfId="0" applyNumberFormat="1" applyFont="1" applyBorder="1"/>
    <xf numFmtId="1" fontId="38" fillId="0" borderId="12" xfId="0" applyNumberFormat="1" applyFont="1" applyBorder="1"/>
    <xf numFmtId="0" fontId="38" fillId="0" borderId="12" xfId="0" applyFont="1" applyBorder="1"/>
    <xf numFmtId="0" fontId="38" fillId="0" borderId="4" xfId="0" applyFont="1" applyBorder="1"/>
    <xf numFmtId="0" fontId="40" fillId="0" borderId="0" xfId="0" applyFont="1"/>
    <xf numFmtId="167" fontId="40" fillId="0" borderId="11" xfId="0" applyNumberFormat="1" applyFont="1" applyBorder="1"/>
    <xf numFmtId="167" fontId="40" fillId="0" borderId="0" xfId="0" applyNumberFormat="1" applyFont="1" applyBorder="1"/>
    <xf numFmtId="167" fontId="40" fillId="0" borderId="12" xfId="0" applyNumberFormat="1" applyFont="1" applyBorder="1"/>
    <xf numFmtId="167" fontId="40" fillId="0" borderId="11" xfId="2" applyNumberFormat="1" applyFont="1" applyBorder="1"/>
    <xf numFmtId="167" fontId="40" fillId="0" borderId="0" xfId="2" applyNumberFormat="1" applyFont="1" applyBorder="1"/>
    <xf numFmtId="167" fontId="40" fillId="0" borderId="12" xfId="2" applyNumberFormat="1" applyFont="1" applyBorder="1"/>
    <xf numFmtId="167" fontId="40" fillId="10" borderId="11" xfId="0" applyNumberFormat="1" applyFont="1" applyFill="1" applyBorder="1"/>
    <xf numFmtId="167" fontId="40" fillId="10" borderId="0" xfId="0" applyNumberFormat="1" applyFont="1" applyFill="1" applyBorder="1"/>
    <xf numFmtId="167" fontId="40" fillId="10" borderId="12" xfId="0" applyNumberFormat="1" applyFont="1" applyFill="1" applyBorder="1"/>
    <xf numFmtId="0" fontId="40" fillId="0" borderId="0" xfId="0" applyFont="1" applyAlignment="1">
      <alignment horizontal="left"/>
    </xf>
    <xf numFmtId="168" fontId="23" fillId="11" borderId="0" xfId="0" applyNumberFormat="1" applyFont="1" applyFill="1" applyBorder="1" applyAlignment="1">
      <alignment horizontal="center"/>
    </xf>
    <xf numFmtId="0" fontId="2" fillId="11" borderId="0" xfId="0" applyFont="1" applyFill="1" applyBorder="1"/>
    <xf numFmtId="3" fontId="38" fillId="11" borderId="0" xfId="0" applyNumberFormat="1" applyFont="1" applyFill="1" applyBorder="1"/>
    <xf numFmtId="167" fontId="40" fillId="11" borderId="0" xfId="0" applyNumberFormat="1" applyFont="1" applyFill="1" applyBorder="1"/>
    <xf numFmtId="167" fontId="40" fillId="11" borderId="11" xfId="2" applyNumberFormat="1" applyFont="1" applyFill="1" applyBorder="1"/>
    <xf numFmtId="1" fontId="38" fillId="11" borderId="0" xfId="0" applyNumberFormat="1" applyFont="1" applyFill="1" applyBorder="1"/>
    <xf numFmtId="0" fontId="38" fillId="11" borderId="0" xfId="0" applyFont="1" applyFill="1" applyBorder="1"/>
    <xf numFmtId="3" fontId="12" fillId="11" borderId="5" xfId="0" applyNumberFormat="1" applyFont="1" applyFill="1" applyBorder="1"/>
    <xf numFmtId="0" fontId="0" fillId="11" borderId="0" xfId="0" applyFill="1" applyBorder="1"/>
    <xf numFmtId="3" fontId="12" fillId="11" borderId="0" xfId="0" applyNumberFormat="1" applyFont="1" applyFill="1" applyBorder="1"/>
    <xf numFmtId="3" fontId="12" fillId="11" borderId="9" xfId="0" applyNumberFormat="1" applyFont="1" applyFill="1" applyBorder="1"/>
    <xf numFmtId="3" fontId="12" fillId="11" borderId="19" xfId="0" applyNumberFormat="1" applyFont="1" applyFill="1" applyBorder="1"/>
    <xf numFmtId="0" fontId="38" fillId="11" borderId="0" xfId="0" applyFont="1" applyFill="1"/>
    <xf numFmtId="3" fontId="38" fillId="11" borderId="22" xfId="0" applyNumberFormat="1" applyFont="1" applyFill="1" applyBorder="1"/>
    <xf numFmtId="3" fontId="12" fillId="11" borderId="23" xfId="0" applyNumberFormat="1" applyFont="1" applyFill="1" applyBorder="1"/>
    <xf numFmtId="3" fontId="12" fillId="11" borderId="22" xfId="0" applyNumberFormat="1" applyFont="1" applyFill="1" applyBorder="1"/>
    <xf numFmtId="3" fontId="12" fillId="11" borderId="24" xfId="0" applyNumberFormat="1" applyFont="1" applyFill="1" applyBorder="1"/>
    <xf numFmtId="3" fontId="12" fillId="11" borderId="25" xfId="0" applyNumberFormat="1" applyFont="1" applyFill="1" applyBorder="1"/>
    <xf numFmtId="3" fontId="14" fillId="0" borderId="0" xfId="0" applyNumberFormat="1" applyFont="1" applyFill="1" applyBorder="1" applyAlignment="1">
      <alignment vertical="center"/>
    </xf>
    <xf numFmtId="0" fontId="1" fillId="0" borderId="9" xfId="0" applyFont="1" applyFill="1" applyBorder="1"/>
    <xf numFmtId="3" fontId="15" fillId="0" borderId="9" xfId="0" applyNumberFormat="1" applyFont="1" applyFill="1" applyBorder="1" applyAlignment="1">
      <alignment vertical="center"/>
    </xf>
    <xf numFmtId="0" fontId="15" fillId="0" borderId="9" xfId="0" applyFont="1" applyFill="1" applyBorder="1" applyAlignment="1">
      <alignment vertical="center"/>
    </xf>
    <xf numFmtId="0" fontId="15" fillId="0" borderId="3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vertical="center"/>
    </xf>
    <xf numFmtId="0" fontId="1" fillId="0" borderId="26" xfId="0" applyFont="1" applyFill="1" applyBorder="1"/>
    <xf numFmtId="3" fontId="14" fillId="10" borderId="0" xfId="0" applyNumberFormat="1" applyFont="1" applyFill="1" applyAlignment="1">
      <alignment vertical="center"/>
    </xf>
    <xf numFmtId="3" fontId="15" fillId="10" borderId="9" xfId="0" applyNumberFormat="1" applyFont="1" applyFill="1" applyBorder="1" applyAlignment="1">
      <alignment vertical="center"/>
    </xf>
    <xf numFmtId="3" fontId="15" fillId="10" borderId="5" xfId="0" applyNumberFormat="1" applyFont="1" applyFill="1" applyBorder="1" applyAlignment="1">
      <alignment vertical="center"/>
    </xf>
    <xf numFmtId="3" fontId="15" fillId="10" borderId="3" xfId="0" applyNumberFormat="1" applyFont="1" applyFill="1" applyBorder="1" applyAlignment="1">
      <alignment vertical="center"/>
    </xf>
    <xf numFmtId="3" fontId="1" fillId="10" borderId="5" xfId="0" applyNumberFormat="1" applyFont="1" applyFill="1" applyBorder="1"/>
    <xf numFmtId="3" fontId="1" fillId="10" borderId="0" xfId="0" applyNumberFormat="1" applyFont="1" applyFill="1"/>
    <xf numFmtId="0" fontId="41" fillId="0" borderId="0" xfId="0" applyFont="1" applyFill="1" applyAlignment="1">
      <alignment horizontal="left" vertical="center"/>
    </xf>
    <xf numFmtId="0" fontId="41" fillId="0" borderId="0" xfId="0" applyFont="1" applyFill="1" applyAlignment="1">
      <alignment vertical="center"/>
    </xf>
    <xf numFmtId="168" fontId="23" fillId="3" borderId="0" xfId="0" applyNumberFormat="1" applyFont="1" applyFill="1"/>
    <xf numFmtId="168" fontId="23" fillId="3" borderId="16" xfId="0" applyNumberFormat="1" applyFont="1" applyFill="1" applyBorder="1"/>
    <xf numFmtId="3" fontId="0" fillId="10" borderId="0" xfId="0" applyNumberFormat="1" applyFill="1"/>
    <xf numFmtId="0" fontId="38" fillId="7" borderId="0" xfId="0" applyFont="1" applyFill="1"/>
    <xf numFmtId="0" fontId="42" fillId="3" borderId="0" xfId="0" applyFont="1" applyFill="1"/>
    <xf numFmtId="168" fontId="42" fillId="3" borderId="16" xfId="0" applyNumberFormat="1" applyFont="1" applyFill="1" applyBorder="1"/>
    <xf numFmtId="168" fontId="42" fillId="3" borderId="0" xfId="0" applyNumberFormat="1" applyFont="1" applyFill="1"/>
    <xf numFmtId="0" fontId="43" fillId="0" borderId="9" xfId="0" applyFont="1" applyFill="1" applyBorder="1" applyAlignment="1">
      <alignment vertical="center"/>
    </xf>
    <xf numFmtId="0" fontId="44" fillId="0" borderId="9" xfId="0" applyFont="1" applyFill="1" applyBorder="1" applyAlignment="1">
      <alignment vertical="center"/>
    </xf>
    <xf numFmtId="0" fontId="38" fillId="10" borderId="9" xfId="0" applyFont="1" applyFill="1" applyBorder="1"/>
    <xf numFmtId="0" fontId="44" fillId="0" borderId="0" xfId="0" applyFont="1" applyFill="1" applyAlignment="1">
      <alignment vertical="center"/>
    </xf>
    <xf numFmtId="3" fontId="44" fillId="0" borderId="0" xfId="0" applyNumberFormat="1" applyFont="1" applyFill="1" applyAlignment="1">
      <alignment vertical="center"/>
    </xf>
    <xf numFmtId="3" fontId="44" fillId="10" borderId="0" xfId="0" applyNumberFormat="1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12" fillId="7" borderId="0" xfId="0" applyFont="1" applyFill="1"/>
    <xf numFmtId="3" fontId="38" fillId="10" borderId="0" xfId="0" applyNumberFormat="1" applyFont="1" applyFill="1"/>
    <xf numFmtId="0" fontId="44" fillId="0" borderId="0" xfId="0" applyFont="1" applyFill="1" applyAlignment="1">
      <alignment horizontal="left" vertical="center"/>
    </xf>
    <xf numFmtId="0" fontId="38" fillId="0" borderId="0" xfId="0" applyFont="1" applyFill="1"/>
    <xf numFmtId="0" fontId="43" fillId="0" borderId="27" xfId="0" applyFont="1" applyFill="1" applyBorder="1" applyAlignment="1">
      <alignment vertical="center"/>
    </xf>
    <xf numFmtId="3" fontId="12" fillId="10" borderId="27" xfId="0" applyNumberFormat="1" applyFont="1" applyFill="1" applyBorder="1"/>
    <xf numFmtId="0" fontId="43" fillId="0" borderId="3" xfId="0" applyFont="1" applyFill="1" applyBorder="1" applyAlignment="1">
      <alignment vertical="center"/>
    </xf>
    <xf numFmtId="3" fontId="43" fillId="0" borderId="3" xfId="0" applyNumberFormat="1" applyFont="1" applyFill="1" applyBorder="1" applyAlignment="1">
      <alignment vertical="center"/>
    </xf>
    <xf numFmtId="3" fontId="43" fillId="10" borderId="3" xfId="0" applyNumberFormat="1" applyFont="1" applyFill="1" applyBorder="1" applyAlignment="1">
      <alignment vertical="center"/>
    </xf>
    <xf numFmtId="0" fontId="43" fillId="0" borderId="3" xfId="0" applyFont="1" applyFill="1" applyBorder="1" applyAlignment="1">
      <alignment horizontal="left" vertical="center"/>
    </xf>
    <xf numFmtId="0" fontId="43" fillId="0" borderId="4" xfId="0" applyFont="1" applyFill="1" applyBorder="1" applyAlignment="1">
      <alignment vertical="center"/>
    </xf>
    <xf numFmtId="3" fontId="0" fillId="0" borderId="0" xfId="0" applyNumberFormat="1" applyFill="1"/>
    <xf numFmtId="3" fontId="0" fillId="10" borderId="0" xfId="0" applyNumberFormat="1" applyFill="1" applyBorder="1"/>
    <xf numFmtId="3" fontId="1" fillId="0" borderId="9" xfId="0" applyNumberFormat="1" applyFont="1" applyFill="1" applyBorder="1"/>
    <xf numFmtId="3" fontId="1" fillId="10" borderId="9" xfId="0" applyNumberFormat="1" applyFont="1" applyFill="1" applyBorder="1"/>
    <xf numFmtId="3" fontId="1" fillId="0" borderId="26" xfId="0" applyNumberFormat="1" applyFont="1" applyFill="1" applyBorder="1"/>
    <xf numFmtId="3" fontId="1" fillId="10" borderId="26" xfId="0" applyNumberFormat="1" applyFont="1" applyFill="1" applyBorder="1"/>
    <xf numFmtId="3" fontId="12" fillId="0" borderId="27" xfId="0" applyNumberFormat="1" applyFont="1" applyFill="1" applyBorder="1"/>
    <xf numFmtId="3" fontId="44" fillId="0" borderId="0" xfId="0" applyNumberFormat="1" applyFont="1" applyFill="1" applyBorder="1" applyAlignment="1">
      <alignment vertical="center"/>
    </xf>
    <xf numFmtId="3" fontId="38" fillId="0" borderId="0" xfId="0" applyNumberFormat="1" applyFont="1" applyFill="1"/>
    <xf numFmtId="3" fontId="43" fillId="0" borderId="5" xfId="0" applyNumberFormat="1" applyFont="1" applyFill="1" applyBorder="1" applyAlignment="1">
      <alignment vertical="center"/>
    </xf>
    <xf numFmtId="0" fontId="25" fillId="7" borderId="0" xfId="0" applyFont="1" applyFill="1"/>
    <xf numFmtId="17" fontId="35" fillId="3" borderId="0" xfId="0" applyNumberFormat="1" applyFont="1" applyFill="1"/>
    <xf numFmtId="0" fontId="25" fillId="6" borderId="0" xfId="0" applyFont="1" applyFill="1"/>
    <xf numFmtId="0" fontId="25" fillId="0" borderId="0" xfId="0" applyFont="1" applyFill="1"/>
    <xf numFmtId="0" fontId="12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45" fillId="0" borderId="0" xfId="0" applyFont="1"/>
    <xf numFmtId="0" fontId="19" fillId="0" borderId="0" xfId="0" applyFont="1" applyFill="1" applyBorder="1" applyAlignment="1">
      <alignment vertical="center"/>
    </xf>
    <xf numFmtId="3" fontId="25" fillId="0" borderId="0" xfId="0" applyNumberFormat="1" applyFont="1"/>
    <xf numFmtId="0" fontId="16" fillId="0" borderId="9" xfId="0" applyFont="1" applyFill="1" applyBorder="1" applyAlignment="1">
      <alignment vertical="center"/>
    </xf>
    <xf numFmtId="3" fontId="45" fillId="0" borderId="9" xfId="0" applyNumberFormat="1" applyFont="1" applyBorder="1"/>
    <xf numFmtId="10" fontId="38" fillId="0" borderId="0" xfId="2" applyNumberFormat="1" applyFont="1" applyAlignment="1">
      <alignment vertical="center"/>
    </xf>
    <xf numFmtId="0" fontId="16" fillId="0" borderId="0" xfId="0" applyFont="1" applyFill="1" applyBorder="1" applyAlignment="1">
      <alignment vertical="center"/>
    </xf>
    <xf numFmtId="3" fontId="38" fillId="0" borderId="0" xfId="0" applyNumberFormat="1" applyFont="1" applyAlignment="1">
      <alignment vertical="center"/>
    </xf>
    <xf numFmtId="3" fontId="38" fillId="0" borderId="0" xfId="2" applyNumberFormat="1" applyFont="1" applyAlignment="1">
      <alignment vertical="center"/>
    </xf>
    <xf numFmtId="0" fontId="45" fillId="0" borderId="0" xfId="0" applyFont="1" applyFill="1"/>
    <xf numFmtId="3" fontId="12" fillId="0" borderId="9" xfId="0" applyNumberFormat="1" applyFont="1" applyBorder="1" applyAlignment="1">
      <alignment vertical="center"/>
    </xf>
    <xf numFmtId="3" fontId="12" fillId="0" borderId="9" xfId="2" applyNumberFormat="1" applyFont="1" applyBorder="1" applyAlignment="1">
      <alignment vertical="center"/>
    </xf>
    <xf numFmtId="0" fontId="45" fillId="7" borderId="0" xfId="0" applyFont="1" applyFill="1"/>
    <xf numFmtId="0" fontId="45" fillId="0" borderId="3" xfId="0" applyFont="1" applyBorder="1"/>
    <xf numFmtId="0" fontId="12" fillId="0" borderId="3" xfId="0" applyFont="1" applyBorder="1" applyAlignment="1">
      <alignment vertical="center"/>
    </xf>
    <xf numFmtId="0" fontId="12" fillId="0" borderId="3" xfId="2" applyNumberFormat="1" applyFont="1" applyBorder="1" applyAlignment="1">
      <alignment vertical="center"/>
    </xf>
    <xf numFmtId="0" fontId="38" fillId="0" borderId="0" xfId="2" applyNumberFormat="1" applyFont="1" applyAlignment="1">
      <alignment vertical="center"/>
    </xf>
    <xf numFmtId="0" fontId="25" fillId="8" borderId="0" xfId="0" applyFont="1" applyFill="1"/>
    <xf numFmtId="0" fontId="45" fillId="8" borderId="0" xfId="0" applyFont="1" applyFill="1"/>
    <xf numFmtId="0" fontId="25" fillId="10" borderId="0" xfId="0" applyFont="1" applyFill="1"/>
    <xf numFmtId="3" fontId="25" fillId="10" borderId="0" xfId="0" applyNumberFormat="1" applyFont="1" applyFill="1"/>
    <xf numFmtId="3" fontId="45" fillId="10" borderId="9" xfId="0" applyNumberFormat="1" applyFont="1" applyFill="1" applyBorder="1"/>
    <xf numFmtId="10" fontId="25" fillId="10" borderId="0" xfId="0" applyNumberFormat="1" applyFont="1" applyFill="1"/>
    <xf numFmtId="3" fontId="38" fillId="10" borderId="0" xfId="2" applyNumberFormat="1" applyFont="1" applyFill="1" applyAlignment="1">
      <alignment vertical="center"/>
    </xf>
    <xf numFmtId="0" fontId="45" fillId="10" borderId="0" xfId="0" applyFont="1" applyFill="1"/>
    <xf numFmtId="1" fontId="12" fillId="10" borderId="3" xfId="2" applyNumberFormat="1" applyFont="1" applyFill="1" applyBorder="1" applyAlignment="1">
      <alignment vertical="center"/>
    </xf>
    <xf numFmtId="2" fontId="25" fillId="10" borderId="0" xfId="0" applyNumberFormat="1" applyFont="1" applyFill="1"/>
    <xf numFmtId="1" fontId="25" fillId="10" borderId="0" xfId="0" applyNumberFormat="1" applyFont="1" applyFill="1"/>
    <xf numFmtId="0" fontId="19" fillId="12" borderId="0" xfId="0" applyFont="1" applyFill="1" applyBorder="1" applyAlignment="1">
      <alignment vertical="center"/>
    </xf>
    <xf numFmtId="0" fontId="38" fillId="12" borderId="0" xfId="0" applyFont="1" applyFill="1" applyAlignment="1">
      <alignment vertical="center"/>
    </xf>
    <xf numFmtId="3" fontId="38" fillId="12" borderId="0" xfId="2" applyNumberFormat="1" applyFont="1" applyFill="1" applyAlignment="1">
      <alignment vertical="center"/>
    </xf>
    <xf numFmtId="0" fontId="16" fillId="12" borderId="0" xfId="0" applyFont="1" applyFill="1" applyBorder="1" applyAlignment="1">
      <alignment vertical="center"/>
    </xf>
    <xf numFmtId="0" fontId="46" fillId="0" borderId="9" xfId="0" applyFont="1" applyFill="1" applyBorder="1" applyAlignment="1">
      <alignment vertical="center"/>
    </xf>
    <xf numFmtId="0" fontId="38" fillId="0" borderId="9" xfId="0" applyFont="1" applyBorder="1" applyAlignment="1">
      <alignment vertical="center"/>
    </xf>
    <xf numFmtId="10" fontId="38" fillId="0" borderId="9" xfId="2" applyNumberFormat="1" applyFont="1" applyBorder="1" applyAlignment="1">
      <alignment vertical="center"/>
    </xf>
    <xf numFmtId="0" fontId="38" fillId="0" borderId="9" xfId="2" applyNumberFormat="1" applyFont="1" applyBorder="1" applyAlignment="1">
      <alignment vertical="center"/>
    </xf>
    <xf numFmtId="1" fontId="25" fillId="10" borderId="9" xfId="0" applyNumberFormat="1" applyFont="1" applyFill="1" applyBorder="1"/>
    <xf numFmtId="3" fontId="38" fillId="0" borderId="0" xfId="0" applyNumberFormat="1" applyFont="1" applyBorder="1" applyAlignment="1">
      <alignment vertical="center"/>
    </xf>
    <xf numFmtId="3" fontId="38" fillId="0" borderId="0" xfId="2" applyNumberFormat="1" applyFont="1" applyBorder="1" applyAlignment="1">
      <alignment vertical="center"/>
    </xf>
    <xf numFmtId="3" fontId="38" fillId="10" borderId="0" xfId="2" applyNumberFormat="1" applyFont="1" applyFill="1" applyBorder="1" applyAlignment="1">
      <alignment vertical="center"/>
    </xf>
    <xf numFmtId="3" fontId="38" fillId="12" borderId="0" xfId="0" applyNumberFormat="1" applyFont="1" applyFill="1" applyBorder="1" applyAlignment="1">
      <alignment vertical="center"/>
    </xf>
    <xf numFmtId="3" fontId="38" fillId="12" borderId="0" xfId="2" applyNumberFormat="1" applyFont="1" applyFill="1" applyBorder="1" applyAlignment="1">
      <alignment vertical="center"/>
    </xf>
    <xf numFmtId="3" fontId="25" fillId="12" borderId="0" xfId="0" applyNumberFormat="1" applyFont="1" applyFill="1" applyBorder="1"/>
    <xf numFmtId="3" fontId="45" fillId="0" borderId="0" xfId="0" applyNumberFormat="1" applyFont="1" applyBorder="1"/>
    <xf numFmtId="3" fontId="45" fillId="10" borderId="0" xfId="0" applyNumberFormat="1" applyFont="1" applyFill="1" applyBorder="1"/>
    <xf numFmtId="0" fontId="25" fillId="0" borderId="0" xfId="0" applyFont="1" applyBorder="1"/>
    <xf numFmtId="1" fontId="25" fillId="10" borderId="0" xfId="0" applyNumberFormat="1" applyFont="1" applyFill="1" applyBorder="1"/>
    <xf numFmtId="0" fontId="16" fillId="0" borderId="28" xfId="0" applyFont="1" applyFill="1" applyBorder="1" applyAlignment="1">
      <alignment vertical="center"/>
    </xf>
    <xf numFmtId="0" fontId="25" fillId="0" borderId="28" xfId="0" applyFont="1" applyBorder="1"/>
    <xf numFmtId="9" fontId="25" fillId="0" borderId="28" xfId="2" applyFont="1" applyBorder="1"/>
    <xf numFmtId="1" fontId="25" fillId="10" borderId="28" xfId="0" applyNumberFormat="1" applyFont="1" applyFill="1" applyBorder="1"/>
    <xf numFmtId="3" fontId="12" fillId="12" borderId="0" xfId="0" applyNumberFormat="1" applyFont="1" applyFill="1" applyBorder="1" applyAlignment="1">
      <alignment vertical="center"/>
    </xf>
    <xf numFmtId="3" fontId="12" fillId="12" borderId="0" xfId="2" applyNumberFormat="1" applyFont="1" applyFill="1" applyBorder="1" applyAlignment="1">
      <alignment vertical="center"/>
    </xf>
    <xf numFmtId="3" fontId="45" fillId="12" borderId="0" xfId="0" applyNumberFormat="1" applyFont="1" applyFill="1" applyBorder="1"/>
    <xf numFmtId="0" fontId="2" fillId="3" borderId="15" xfId="0" applyFont="1" applyFill="1" applyBorder="1" applyAlignment="1">
      <alignment horizontal="center"/>
    </xf>
    <xf numFmtId="0" fontId="23" fillId="3" borderId="15" xfId="0" applyFont="1" applyFill="1" applyBorder="1" applyAlignment="1">
      <alignment horizontal="center"/>
    </xf>
    <xf numFmtId="0" fontId="42" fillId="3" borderId="15" xfId="0" applyFont="1" applyFill="1" applyBorder="1" applyAlignment="1">
      <alignment horizontal="center"/>
    </xf>
    <xf numFmtId="168" fontId="2" fillId="3" borderId="1" xfId="0" applyNumberFormat="1" applyFont="1" applyFill="1" applyBorder="1"/>
    <xf numFmtId="168" fontId="2" fillId="3" borderId="0" xfId="0" applyNumberFormat="1" applyFont="1" applyFill="1"/>
    <xf numFmtId="3" fontId="0" fillId="10" borderId="0" xfId="0" applyNumberFormat="1" applyFont="1" applyFill="1"/>
    <xf numFmtId="3" fontId="47" fillId="0" borderId="0" xfId="0" applyNumberFormat="1" applyFont="1" applyFill="1" applyAlignment="1">
      <alignment vertical="center"/>
    </xf>
    <xf numFmtId="0" fontId="29" fillId="0" borderId="0" xfId="0" applyFont="1" applyFill="1" applyAlignment="1">
      <alignment horizontal="left" vertical="center"/>
    </xf>
    <xf numFmtId="0" fontId="30" fillId="0" borderId="0" xfId="0" applyFont="1" applyFill="1" applyAlignment="1">
      <alignment horizontal="left" vertical="center"/>
    </xf>
    <xf numFmtId="0" fontId="31" fillId="0" borderId="0" xfId="0" applyFont="1" applyFill="1" applyAlignment="1">
      <alignment vertical="center"/>
    </xf>
    <xf numFmtId="0" fontId="31" fillId="0" borderId="10" xfId="0" applyFont="1" applyFill="1" applyBorder="1" applyAlignment="1">
      <alignment vertical="center"/>
    </xf>
    <xf numFmtId="165" fontId="31" fillId="0" borderId="0" xfId="3" applyNumberFormat="1" applyFont="1" applyFill="1" applyAlignment="1">
      <alignment vertical="center"/>
    </xf>
    <xf numFmtId="166" fontId="31" fillId="0" borderId="0" xfId="0" applyNumberFormat="1" applyFont="1" applyFill="1" applyAlignment="1">
      <alignment vertical="center"/>
    </xf>
    <xf numFmtId="3" fontId="31" fillId="0" borderId="7" xfId="0" applyNumberFormat="1" applyFont="1" applyFill="1" applyBorder="1" applyAlignment="1">
      <alignment vertical="center"/>
    </xf>
    <xf numFmtId="3" fontId="31" fillId="0" borderId="0" xfId="0" applyNumberFormat="1" applyFont="1" applyFill="1" applyBorder="1" applyAlignment="1">
      <alignment vertical="center"/>
    </xf>
    <xf numFmtId="9" fontId="31" fillId="0" borderId="0" xfId="0" applyNumberFormat="1" applyFont="1" applyFill="1" applyAlignment="1">
      <alignment vertical="center"/>
    </xf>
    <xf numFmtId="0" fontId="32" fillId="0" borderId="0" xfId="0" applyFont="1" applyFill="1" applyAlignment="1">
      <alignment vertical="center"/>
    </xf>
    <xf numFmtId="3" fontId="32" fillId="0" borderId="7" xfId="0" applyNumberFormat="1" applyFont="1" applyFill="1" applyBorder="1" applyAlignment="1">
      <alignment vertical="center"/>
    </xf>
    <xf numFmtId="3" fontId="32" fillId="0" borderId="0" xfId="0" applyNumberFormat="1" applyFont="1" applyFill="1" applyBorder="1" applyAlignment="1">
      <alignment vertical="center"/>
    </xf>
    <xf numFmtId="0" fontId="1" fillId="0" borderId="0" xfId="0" applyFont="1" applyFill="1"/>
    <xf numFmtId="165" fontId="1" fillId="0" borderId="0" xfId="0" applyNumberFormat="1" applyFont="1" applyFill="1"/>
    <xf numFmtId="0" fontId="17" fillId="3" borderId="0" xfId="0" applyFont="1" applyFill="1"/>
    <xf numFmtId="0" fontId="48" fillId="3" borderId="0" xfId="0" applyFont="1" applyFill="1"/>
    <xf numFmtId="0" fontId="49" fillId="3" borderId="0" xfId="0" applyFont="1" applyFill="1"/>
    <xf numFmtId="0" fontId="2" fillId="3" borderId="2" xfId="0" applyFont="1" applyFill="1" applyBorder="1" applyAlignment="1">
      <alignment horizontal="center"/>
    </xf>
    <xf numFmtId="0" fontId="50" fillId="3" borderId="0" xfId="0" applyFont="1" applyFill="1"/>
    <xf numFmtId="0" fontId="51" fillId="3" borderId="0" xfId="0" applyFont="1" applyFill="1"/>
    <xf numFmtId="9" fontId="0" fillId="10" borderId="0" xfId="0" applyNumberFormat="1" applyFill="1"/>
    <xf numFmtId="0" fontId="0" fillId="10" borderId="0" xfId="2" applyNumberFormat="1" applyFont="1" applyFill="1"/>
    <xf numFmtId="0" fontId="0" fillId="10" borderId="0" xfId="0" applyNumberFormat="1" applyFill="1"/>
    <xf numFmtId="10" fontId="0" fillId="10" borderId="0" xfId="0" applyNumberFormat="1" applyFill="1"/>
    <xf numFmtId="10" fontId="0" fillId="10" borderId="0" xfId="2" applyNumberFormat="1" applyFont="1" applyFill="1"/>
    <xf numFmtId="1" fontId="0" fillId="10" borderId="0" xfId="0" applyNumberFormat="1" applyFill="1"/>
    <xf numFmtId="9" fontId="0" fillId="10" borderId="0" xfId="2" applyFont="1" applyFill="1"/>
  </cellXfs>
  <cellStyles count="4">
    <cellStyle name="Comma" xfId="3" builtinId="3"/>
    <cellStyle name="Normal" xfId="0" builtinId="0"/>
    <cellStyle name="Normal 2" xfId="1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Dashboard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Dashboard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CASH FLOW STATEMENT'!A1"/><Relationship Id="rId2" Type="http://schemas.openxmlformats.org/officeDocument/2006/relationships/hyperlink" Target="#DRS!A1"/><Relationship Id="rId1" Type="http://schemas.openxmlformats.org/officeDocument/2006/relationships/hyperlink" Target="#'INCOME STATEMENT'!A1"/><Relationship Id="rId6" Type="http://schemas.openxmlformats.org/officeDocument/2006/relationships/hyperlink" Target="#'REVENUE DRIVERS'!A1"/><Relationship Id="rId5" Type="http://schemas.openxmlformats.org/officeDocument/2006/relationships/hyperlink" Target="#FAM!A1"/><Relationship Id="rId4" Type="http://schemas.openxmlformats.org/officeDocument/2006/relationships/hyperlink" Target="#'BALANCE SHEET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Dashboard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Dashboard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Dashboard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Dashboard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Dashboard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Dashboard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1</xdr:row>
      <xdr:rowOff>0</xdr:rowOff>
    </xdr:from>
    <xdr:to>
      <xdr:col>20</xdr:col>
      <xdr:colOff>1</xdr:colOff>
      <xdr:row>2</xdr:row>
      <xdr:rowOff>152400</xdr:rowOff>
    </xdr:to>
    <xdr:sp macro="" textlink="">
      <xdr:nvSpPr>
        <xdr:cNvPr id="2" name="Oval 1">
          <a:hlinkClick xmlns:r="http://schemas.openxmlformats.org/officeDocument/2006/relationships" r:id="rId1"/>
        </xdr:cNvPr>
        <xdr:cNvSpPr/>
      </xdr:nvSpPr>
      <xdr:spPr>
        <a:xfrm>
          <a:off x="15716250" y="190500"/>
          <a:ext cx="1" cy="419100"/>
        </a:xfrm>
        <a:prstGeom prst="ellipse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100" b="1">
              <a:latin typeface="+mn-lt"/>
            </a:rPr>
            <a:t>Dashboard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1</xdr:row>
      <xdr:rowOff>0</xdr:rowOff>
    </xdr:from>
    <xdr:to>
      <xdr:col>20</xdr:col>
      <xdr:colOff>1</xdr:colOff>
      <xdr:row>2</xdr:row>
      <xdr:rowOff>152400</xdr:rowOff>
    </xdr:to>
    <xdr:sp macro="" textlink="">
      <xdr:nvSpPr>
        <xdr:cNvPr id="2" name="Oval 1">
          <a:hlinkClick xmlns:r="http://schemas.openxmlformats.org/officeDocument/2006/relationships" r:id="rId1"/>
        </xdr:cNvPr>
        <xdr:cNvSpPr/>
      </xdr:nvSpPr>
      <xdr:spPr>
        <a:xfrm>
          <a:off x="23707726" y="190500"/>
          <a:ext cx="1181100" cy="419100"/>
        </a:xfrm>
        <a:prstGeom prst="ellipse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100" b="1">
              <a:latin typeface="+mn-lt"/>
            </a:rPr>
            <a:t>Dashboard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1</xdr:row>
      <xdr:rowOff>66675</xdr:rowOff>
    </xdr:from>
    <xdr:to>
      <xdr:col>5</xdr:col>
      <xdr:colOff>638175</xdr:colOff>
      <xdr:row>3</xdr:row>
      <xdr:rowOff>28575</xdr:rowOff>
    </xdr:to>
    <xdr:sp macro="" textlink="">
      <xdr:nvSpPr>
        <xdr:cNvPr id="8" name="Flowchart: Terminator 7">
          <a:hlinkClick xmlns:r="http://schemas.openxmlformats.org/officeDocument/2006/relationships" r:id="rId1"/>
        </xdr:cNvPr>
        <xdr:cNvSpPr/>
      </xdr:nvSpPr>
      <xdr:spPr>
        <a:xfrm>
          <a:off x="4962525" y="257175"/>
          <a:ext cx="1533525" cy="361950"/>
        </a:xfrm>
        <a:prstGeom prst="flowChartTerminator">
          <a:avLst/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/>
            <a:t>INCOME STATEMENT</a:t>
          </a:r>
        </a:p>
      </xdr:txBody>
    </xdr:sp>
    <xdr:clientData/>
  </xdr:twoCellAnchor>
  <xdr:twoCellAnchor>
    <xdr:from>
      <xdr:col>5</xdr:col>
      <xdr:colOff>876300</xdr:colOff>
      <xdr:row>4</xdr:row>
      <xdr:rowOff>47625</xdr:rowOff>
    </xdr:from>
    <xdr:to>
      <xdr:col>6</xdr:col>
      <xdr:colOff>1028700</xdr:colOff>
      <xdr:row>5</xdr:row>
      <xdr:rowOff>190500</xdr:rowOff>
    </xdr:to>
    <xdr:sp macro="" textlink="">
      <xdr:nvSpPr>
        <xdr:cNvPr id="9" name="Flowchart: Terminator 8">
          <a:hlinkClick xmlns:r="http://schemas.openxmlformats.org/officeDocument/2006/relationships" r:id="rId2"/>
        </xdr:cNvPr>
        <xdr:cNvSpPr/>
      </xdr:nvSpPr>
      <xdr:spPr>
        <a:xfrm>
          <a:off x="6734175" y="838200"/>
          <a:ext cx="1533525" cy="361950"/>
        </a:xfrm>
        <a:prstGeom prst="flowChartTerminator">
          <a:avLst/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/>
            <a:t>DRS</a:t>
          </a:r>
        </a:p>
      </xdr:txBody>
    </xdr:sp>
    <xdr:clientData/>
  </xdr:twoCellAnchor>
  <xdr:twoCellAnchor>
    <xdr:from>
      <xdr:col>6</xdr:col>
      <xdr:colOff>1171575</xdr:colOff>
      <xdr:row>1</xdr:row>
      <xdr:rowOff>19050</xdr:rowOff>
    </xdr:from>
    <xdr:to>
      <xdr:col>9</xdr:col>
      <xdr:colOff>104775</xdr:colOff>
      <xdr:row>2</xdr:row>
      <xdr:rowOff>190500</xdr:rowOff>
    </xdr:to>
    <xdr:sp macro="" textlink="">
      <xdr:nvSpPr>
        <xdr:cNvPr id="10" name="Flowchart: Terminator 9">
          <a:hlinkClick xmlns:r="http://schemas.openxmlformats.org/officeDocument/2006/relationships" r:id="rId3"/>
        </xdr:cNvPr>
        <xdr:cNvSpPr/>
      </xdr:nvSpPr>
      <xdr:spPr>
        <a:xfrm>
          <a:off x="8410575" y="209550"/>
          <a:ext cx="1533525" cy="361950"/>
        </a:xfrm>
        <a:prstGeom prst="flowChartTerminator">
          <a:avLst/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/>
            <a:t>CASH FLOW</a:t>
          </a:r>
          <a:r>
            <a:rPr lang="en-US" sz="1100" baseline="0"/>
            <a:t> STATEMENT</a:t>
          </a:r>
          <a:endParaRPr lang="en-US" sz="1100"/>
        </a:p>
      </xdr:txBody>
    </xdr:sp>
    <xdr:clientData/>
  </xdr:twoCellAnchor>
  <xdr:twoCellAnchor>
    <xdr:from>
      <xdr:col>5</xdr:col>
      <xdr:colOff>828675</xdr:colOff>
      <xdr:row>1</xdr:row>
      <xdr:rowOff>28575</xdr:rowOff>
    </xdr:from>
    <xdr:to>
      <xdr:col>6</xdr:col>
      <xdr:colOff>981075</xdr:colOff>
      <xdr:row>2</xdr:row>
      <xdr:rowOff>200025</xdr:rowOff>
    </xdr:to>
    <xdr:sp macro="" textlink="">
      <xdr:nvSpPr>
        <xdr:cNvPr id="11" name="Flowchart: Terminator 10">
          <a:hlinkClick xmlns:r="http://schemas.openxmlformats.org/officeDocument/2006/relationships" r:id="rId4"/>
        </xdr:cNvPr>
        <xdr:cNvSpPr/>
      </xdr:nvSpPr>
      <xdr:spPr>
        <a:xfrm>
          <a:off x="6686550" y="219075"/>
          <a:ext cx="1533525" cy="361950"/>
        </a:xfrm>
        <a:prstGeom prst="flowChartTerminator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/>
            <a:t>BALANCE SHEET</a:t>
          </a:r>
        </a:p>
      </xdr:txBody>
    </xdr:sp>
    <xdr:clientData/>
  </xdr:twoCellAnchor>
  <xdr:twoCellAnchor>
    <xdr:from>
      <xdr:col>6</xdr:col>
      <xdr:colOff>1190625</xdr:colOff>
      <xdr:row>4</xdr:row>
      <xdr:rowOff>28575</xdr:rowOff>
    </xdr:from>
    <xdr:to>
      <xdr:col>9</xdr:col>
      <xdr:colOff>123825</xdr:colOff>
      <xdr:row>5</xdr:row>
      <xdr:rowOff>171450</xdr:rowOff>
    </xdr:to>
    <xdr:sp macro="" textlink="">
      <xdr:nvSpPr>
        <xdr:cNvPr id="12" name="Flowchart: Terminator 11">
          <a:hlinkClick xmlns:r="http://schemas.openxmlformats.org/officeDocument/2006/relationships" r:id="rId5"/>
        </xdr:cNvPr>
        <xdr:cNvSpPr/>
      </xdr:nvSpPr>
      <xdr:spPr>
        <a:xfrm>
          <a:off x="8429625" y="819150"/>
          <a:ext cx="1533525" cy="361950"/>
        </a:xfrm>
        <a:prstGeom prst="flowChartTerminator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/>
            <a:t>FAM</a:t>
          </a:r>
        </a:p>
      </xdr:txBody>
    </xdr:sp>
    <xdr:clientData/>
  </xdr:twoCellAnchor>
  <xdr:twoCellAnchor>
    <xdr:from>
      <xdr:col>3</xdr:col>
      <xdr:colOff>381000</xdr:colOff>
      <xdr:row>4</xdr:row>
      <xdr:rowOff>47625</xdr:rowOff>
    </xdr:from>
    <xdr:to>
      <xdr:col>5</xdr:col>
      <xdr:colOff>695325</xdr:colOff>
      <xdr:row>5</xdr:row>
      <xdr:rowOff>190500</xdr:rowOff>
    </xdr:to>
    <xdr:sp macro="" textlink="">
      <xdr:nvSpPr>
        <xdr:cNvPr id="13" name="Flowchart: Terminator 12">
          <a:hlinkClick xmlns:r="http://schemas.openxmlformats.org/officeDocument/2006/relationships" r:id="rId6"/>
        </xdr:cNvPr>
        <xdr:cNvSpPr/>
      </xdr:nvSpPr>
      <xdr:spPr>
        <a:xfrm>
          <a:off x="5019675" y="838200"/>
          <a:ext cx="1533525" cy="361950"/>
        </a:xfrm>
        <a:prstGeom prst="flowChartTerminator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/>
            <a:t>REVENUE</a:t>
          </a:r>
          <a:r>
            <a:rPr lang="en-US" sz="1100" baseline="0"/>
            <a:t> DRIVERS</a:t>
          </a:r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1</xdr:row>
      <xdr:rowOff>0</xdr:rowOff>
    </xdr:from>
    <xdr:to>
      <xdr:col>20</xdr:col>
      <xdr:colOff>1</xdr:colOff>
      <xdr:row>2</xdr:row>
      <xdr:rowOff>152400</xdr:rowOff>
    </xdr:to>
    <xdr:sp macro="" textlink="">
      <xdr:nvSpPr>
        <xdr:cNvPr id="2" name="Oval 1">
          <a:hlinkClick xmlns:r="http://schemas.openxmlformats.org/officeDocument/2006/relationships" r:id="rId1"/>
        </xdr:cNvPr>
        <xdr:cNvSpPr/>
      </xdr:nvSpPr>
      <xdr:spPr>
        <a:xfrm>
          <a:off x="15716250" y="190500"/>
          <a:ext cx="1" cy="419100"/>
        </a:xfrm>
        <a:prstGeom prst="ellipse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100" b="1">
              <a:latin typeface="+mn-lt"/>
            </a:rPr>
            <a:t>Dashboard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0</xdr:colOff>
      <xdr:row>1</xdr:row>
      <xdr:rowOff>0</xdr:rowOff>
    </xdr:from>
    <xdr:to>
      <xdr:col>24</xdr:col>
      <xdr:colOff>1</xdr:colOff>
      <xdr:row>2</xdr:row>
      <xdr:rowOff>152400</xdr:rowOff>
    </xdr:to>
    <xdr:sp macro="" textlink="">
      <xdr:nvSpPr>
        <xdr:cNvPr id="2" name="Oval 1">
          <a:hlinkClick xmlns:r="http://schemas.openxmlformats.org/officeDocument/2006/relationships" r:id="rId1"/>
        </xdr:cNvPr>
        <xdr:cNvSpPr/>
      </xdr:nvSpPr>
      <xdr:spPr>
        <a:xfrm>
          <a:off x="15716250" y="190500"/>
          <a:ext cx="1" cy="419100"/>
        </a:xfrm>
        <a:prstGeom prst="ellipse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100" b="1">
              <a:latin typeface="+mn-lt"/>
            </a:rPr>
            <a:t>Dashboard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</xdr:colOff>
      <xdr:row>1</xdr:row>
      <xdr:rowOff>164521</xdr:rowOff>
    </xdr:from>
    <xdr:to>
      <xdr:col>23</xdr:col>
      <xdr:colOff>2</xdr:colOff>
      <xdr:row>3</xdr:row>
      <xdr:rowOff>117762</xdr:rowOff>
    </xdr:to>
    <xdr:sp macro="" textlink="">
      <xdr:nvSpPr>
        <xdr:cNvPr id="2" name="Oval 1">
          <a:hlinkClick xmlns:r="http://schemas.openxmlformats.org/officeDocument/2006/relationships" r:id="rId1"/>
        </xdr:cNvPr>
        <xdr:cNvSpPr/>
      </xdr:nvSpPr>
      <xdr:spPr>
        <a:xfrm>
          <a:off x="17941637" y="355021"/>
          <a:ext cx="1" cy="420832"/>
        </a:xfrm>
        <a:prstGeom prst="ellipse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100" b="1">
              <a:latin typeface="+mn-lt"/>
            </a:rPr>
            <a:t>Dashboard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0</xdr:colOff>
      <xdr:row>1</xdr:row>
      <xdr:rowOff>0</xdr:rowOff>
    </xdr:from>
    <xdr:to>
      <xdr:col>24</xdr:col>
      <xdr:colOff>1</xdr:colOff>
      <xdr:row>2</xdr:row>
      <xdr:rowOff>152400</xdr:rowOff>
    </xdr:to>
    <xdr:sp macro="" textlink="">
      <xdr:nvSpPr>
        <xdr:cNvPr id="2" name="Oval 1">
          <a:hlinkClick xmlns:r="http://schemas.openxmlformats.org/officeDocument/2006/relationships" r:id="rId1"/>
        </xdr:cNvPr>
        <xdr:cNvSpPr/>
      </xdr:nvSpPr>
      <xdr:spPr>
        <a:xfrm>
          <a:off x="13020675" y="190500"/>
          <a:ext cx="1" cy="447675"/>
        </a:xfrm>
        <a:prstGeom prst="ellipse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100" b="1">
              <a:latin typeface="+mn-lt"/>
            </a:rPr>
            <a:t>Dashboard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0</xdr:colOff>
      <xdr:row>1</xdr:row>
      <xdr:rowOff>0</xdr:rowOff>
    </xdr:from>
    <xdr:to>
      <xdr:col>24</xdr:col>
      <xdr:colOff>1</xdr:colOff>
      <xdr:row>2</xdr:row>
      <xdr:rowOff>152400</xdr:rowOff>
    </xdr:to>
    <xdr:sp macro="" textlink="">
      <xdr:nvSpPr>
        <xdr:cNvPr id="2" name="Oval 1">
          <a:hlinkClick xmlns:r="http://schemas.openxmlformats.org/officeDocument/2006/relationships" r:id="rId1"/>
        </xdr:cNvPr>
        <xdr:cNvSpPr/>
      </xdr:nvSpPr>
      <xdr:spPr>
        <a:xfrm>
          <a:off x="14887575" y="190500"/>
          <a:ext cx="1" cy="419100"/>
        </a:xfrm>
        <a:prstGeom prst="ellipse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100" b="1">
              <a:latin typeface="+mn-lt"/>
            </a:rPr>
            <a:t>Dashboard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1</xdr:colOff>
      <xdr:row>2</xdr:row>
      <xdr:rowOff>152400</xdr:rowOff>
    </xdr:to>
    <xdr:sp macro="" textlink="">
      <xdr:nvSpPr>
        <xdr:cNvPr id="2" name="Oval 1">
          <a:hlinkClick xmlns:r="http://schemas.openxmlformats.org/officeDocument/2006/relationships" r:id="rId1"/>
        </xdr:cNvPr>
        <xdr:cNvSpPr/>
      </xdr:nvSpPr>
      <xdr:spPr>
        <a:xfrm>
          <a:off x="8934450" y="190500"/>
          <a:ext cx="1" cy="419100"/>
        </a:xfrm>
        <a:prstGeom prst="ellipse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100" b="1">
              <a:latin typeface="+mn-lt"/>
            </a:rPr>
            <a:t>Dashboard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BWA_BS%20tally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shboard"/>
      <sheetName val="Template"/>
      <sheetName val="FAM"/>
      <sheetName val="IS1"/>
      <sheetName val="Balance Sheet"/>
      <sheetName val="Cash Flow Statement"/>
      <sheetName val="BSQ"/>
      <sheetName val="CFSQ"/>
    </sheetNames>
    <sheetDataSet>
      <sheetData sheetId="0"/>
      <sheetData sheetId="1"/>
      <sheetData sheetId="2"/>
      <sheetData sheetId="3">
        <row r="19">
          <cell r="C19">
            <v>985</v>
          </cell>
          <cell r="D19">
            <v>797</v>
          </cell>
        </row>
      </sheetData>
      <sheetData sheetId="4"/>
      <sheetData sheetId="5">
        <row r="54">
          <cell r="E54">
            <v>739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javascript:void(0);" TargetMode="External"/><Relationship Id="rId13" Type="http://schemas.openxmlformats.org/officeDocument/2006/relationships/hyperlink" Target="javascript:void(0);" TargetMode="External"/><Relationship Id="rId3" Type="http://schemas.openxmlformats.org/officeDocument/2006/relationships/hyperlink" Target="javascript:void(0);" TargetMode="External"/><Relationship Id="rId7" Type="http://schemas.openxmlformats.org/officeDocument/2006/relationships/hyperlink" Target="javascript:void(0);" TargetMode="External"/><Relationship Id="rId12" Type="http://schemas.openxmlformats.org/officeDocument/2006/relationships/hyperlink" Target="javascript:void(0);" TargetMode="External"/><Relationship Id="rId2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javascript:void(0);" TargetMode="External"/><Relationship Id="rId11" Type="http://schemas.openxmlformats.org/officeDocument/2006/relationships/hyperlink" Target="javascript:void(0);" TargetMode="External"/><Relationship Id="rId5" Type="http://schemas.openxmlformats.org/officeDocument/2006/relationships/hyperlink" Target="javascript:void(0);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javascript:void(0);" TargetMode="External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Relationship Id="rId14" Type="http://schemas.openxmlformats.org/officeDocument/2006/relationships/hyperlink" Target="javascript:void(0);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25"/>
  <sheetViews>
    <sheetView showGridLines="0" workbookViewId="0">
      <selection activeCell="D13" sqref="D13"/>
    </sheetView>
  </sheetViews>
  <sheetFormatPr defaultColWidth="0" defaultRowHeight="0" customHeight="1" zeroHeight="1"/>
  <cols>
    <col min="1" max="1" width="3.7109375" style="47" customWidth="1"/>
    <col min="2" max="2" width="8.28515625" style="47" customWidth="1"/>
    <col min="3" max="3" width="8.42578125" style="47" customWidth="1"/>
    <col min="4" max="4" width="40.7109375" style="47" customWidth="1"/>
    <col min="5" max="12" width="10.7109375" style="47" customWidth="1"/>
    <col min="13" max="13" width="12.85546875" style="47" customWidth="1"/>
    <col min="14" max="14" width="11.7109375" style="47" customWidth="1"/>
    <col min="15" max="20" width="10.7109375" style="47" customWidth="1"/>
    <col min="21" max="21" width="3.7109375" style="47" customWidth="1"/>
    <col min="22" max="36" width="0" style="47" hidden="1" customWidth="1"/>
    <col min="37" max="16384" width="9.140625" style="47" hidden="1"/>
  </cols>
  <sheetData>
    <row r="1" spans="1:21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1">
      <c r="A2" s="1"/>
      <c r="B2" s="5" t="str">
        <f>Company_Name</f>
        <v>BorgWarner Inc. (BWA)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"/>
    </row>
    <row r="3" spans="1:21" ht="15.75" thickBot="1">
      <c r="A3" s="1"/>
      <c r="B3" s="2"/>
      <c r="C3" s="2"/>
      <c r="D3" s="2"/>
      <c r="E3" s="2"/>
      <c r="F3" s="2"/>
      <c r="G3" s="28" t="s">
        <v>3</v>
      </c>
      <c r="H3" s="28"/>
      <c r="I3" s="28"/>
      <c r="J3" s="28"/>
      <c r="K3" s="28"/>
      <c r="L3" s="28"/>
      <c r="M3" s="2"/>
      <c r="N3" s="2"/>
      <c r="O3" s="2"/>
      <c r="P3" s="2"/>
      <c r="Q3" s="2"/>
      <c r="R3" s="2"/>
      <c r="S3" s="2"/>
      <c r="T3" s="2"/>
      <c r="U3" s="1"/>
    </row>
    <row r="4" spans="1:21" ht="15">
      <c r="A4" s="1"/>
      <c r="B4" s="2" t="str">
        <f>Currency</f>
        <v>(expressed in millions)</v>
      </c>
      <c r="C4" s="2"/>
      <c r="D4" s="2"/>
      <c r="E4" s="49">
        <f t="shared" ref="E4:K4" si="0">EDATE(F4,-3)</f>
        <v>43160</v>
      </c>
      <c r="F4" s="49">
        <f t="shared" si="0"/>
        <v>43252</v>
      </c>
      <c r="G4" s="49">
        <f t="shared" si="0"/>
        <v>43344</v>
      </c>
      <c r="H4" s="49">
        <f t="shared" si="0"/>
        <v>43435</v>
      </c>
      <c r="I4" s="49">
        <f t="shared" si="0"/>
        <v>43525</v>
      </c>
      <c r="J4" s="49">
        <f t="shared" si="0"/>
        <v>43617</v>
      </c>
      <c r="K4" s="49">
        <f t="shared" si="0"/>
        <v>43709</v>
      </c>
      <c r="L4" s="49">
        <f>LHY</f>
        <v>43800</v>
      </c>
      <c r="M4" s="3">
        <f>EDATE(L4,3)</f>
        <v>43891</v>
      </c>
      <c r="N4" s="3">
        <f t="shared" ref="N4:T4" si="1">EDATE(M4,3)</f>
        <v>43983</v>
      </c>
      <c r="O4" s="3">
        <f t="shared" si="1"/>
        <v>44075</v>
      </c>
      <c r="P4" s="3">
        <f t="shared" si="1"/>
        <v>44166</v>
      </c>
      <c r="Q4" s="3">
        <f t="shared" si="1"/>
        <v>44256</v>
      </c>
      <c r="R4" s="3">
        <f t="shared" si="1"/>
        <v>44348</v>
      </c>
      <c r="S4" s="3">
        <f t="shared" si="1"/>
        <v>44440</v>
      </c>
      <c r="T4" s="3">
        <f t="shared" si="1"/>
        <v>44531</v>
      </c>
      <c r="U4" s="1"/>
    </row>
    <row r="5" spans="1:21" ht="15">
      <c r="A5" s="1"/>
      <c r="M5" s="72"/>
      <c r="N5" s="72"/>
      <c r="O5" s="72"/>
      <c r="P5" s="72"/>
      <c r="Q5" s="72"/>
      <c r="R5" s="72"/>
      <c r="S5" s="72"/>
      <c r="T5" s="72"/>
      <c r="U5" s="1"/>
    </row>
    <row r="6" spans="1:21" ht="15">
      <c r="A6" s="1"/>
      <c r="M6" s="72"/>
      <c r="N6" s="72"/>
      <c r="O6" s="72"/>
      <c r="P6" s="72"/>
      <c r="Q6" s="72"/>
      <c r="R6" s="72"/>
      <c r="S6" s="72"/>
      <c r="T6" s="72"/>
      <c r="U6" s="1"/>
    </row>
    <row r="7" spans="1:21" ht="15">
      <c r="A7" s="1"/>
      <c r="D7" s="7" t="s">
        <v>77</v>
      </c>
      <c r="E7"/>
      <c r="F7"/>
      <c r="G7"/>
      <c r="H7"/>
      <c r="I7"/>
      <c r="J7"/>
      <c r="K7"/>
      <c r="L7"/>
      <c r="M7" s="72"/>
      <c r="N7" s="72"/>
      <c r="O7" s="72"/>
      <c r="P7" s="72"/>
      <c r="Q7" s="72"/>
      <c r="R7" s="72"/>
      <c r="S7" s="72"/>
      <c r="T7" s="72"/>
      <c r="U7" s="1"/>
    </row>
    <row r="8" spans="1:21" ht="15">
      <c r="A8" s="1"/>
      <c r="D8" t="s">
        <v>78</v>
      </c>
      <c r="E8">
        <v>409.7</v>
      </c>
      <c r="F8">
        <v>361.9</v>
      </c>
      <c r="G8">
        <v>361.8</v>
      </c>
      <c r="H8">
        <v>739</v>
      </c>
      <c r="I8">
        <v>494</v>
      </c>
      <c r="J8">
        <v>710</v>
      </c>
      <c r="K8">
        <v>916</v>
      </c>
      <c r="L8">
        <v>832</v>
      </c>
      <c r="M8" s="72"/>
      <c r="N8" s="72"/>
      <c r="O8" s="72"/>
      <c r="P8" s="72"/>
      <c r="Q8" s="72"/>
      <c r="R8" s="72"/>
      <c r="S8" s="72"/>
      <c r="T8" s="72"/>
      <c r="U8" s="1"/>
    </row>
    <row r="9" spans="1:21" ht="15">
      <c r="A9" s="1"/>
      <c r="D9" t="s">
        <v>79</v>
      </c>
      <c r="E9"/>
      <c r="F9"/>
      <c r="G9"/>
      <c r="H9"/>
      <c r="I9">
        <v>23</v>
      </c>
      <c r="J9"/>
      <c r="K9"/>
      <c r="L9"/>
      <c r="M9" s="72"/>
      <c r="N9" s="72"/>
      <c r="O9" s="72"/>
      <c r="P9" s="72"/>
      <c r="Q9" s="72"/>
      <c r="R9" s="72"/>
      <c r="S9" s="72"/>
      <c r="T9" s="72"/>
      <c r="U9" s="1"/>
    </row>
    <row r="10" spans="1:21" ht="15">
      <c r="A10" s="1"/>
      <c r="D10" t="s">
        <v>80</v>
      </c>
      <c r="E10">
        <v>2247.1</v>
      </c>
      <c r="F10">
        <v>2131</v>
      </c>
      <c r="G10">
        <v>2061.1</v>
      </c>
      <c r="H10">
        <v>1988</v>
      </c>
      <c r="I10">
        <v>2065</v>
      </c>
      <c r="J10">
        <v>2063</v>
      </c>
      <c r="K10">
        <v>1983</v>
      </c>
      <c r="L10">
        <v>1921</v>
      </c>
      <c r="M10" s="72"/>
      <c r="N10" s="72"/>
      <c r="O10" s="72"/>
      <c r="P10" s="72"/>
      <c r="Q10" s="72"/>
      <c r="R10" s="72"/>
      <c r="S10" s="72"/>
      <c r="T10" s="72"/>
      <c r="U10" s="1"/>
    </row>
    <row r="11" spans="1:21" ht="15">
      <c r="A11" s="1"/>
      <c r="D11" t="s">
        <v>81</v>
      </c>
      <c r="E11">
        <v>800.4</v>
      </c>
      <c r="F11">
        <v>800.2</v>
      </c>
      <c r="G11">
        <v>810.3</v>
      </c>
      <c r="H11">
        <v>781</v>
      </c>
      <c r="I11">
        <v>807</v>
      </c>
      <c r="J11">
        <v>817</v>
      </c>
      <c r="K11">
        <v>810</v>
      </c>
      <c r="L11">
        <v>807</v>
      </c>
      <c r="M11" s="72"/>
      <c r="N11" s="72"/>
      <c r="O11" s="72"/>
      <c r="P11" s="72"/>
      <c r="Q11" s="72"/>
      <c r="R11" s="72"/>
      <c r="S11" s="72"/>
      <c r="T11" s="72"/>
      <c r="U11" s="1"/>
    </row>
    <row r="12" spans="1:21" ht="15">
      <c r="A12" s="1"/>
      <c r="D12" t="s">
        <v>47</v>
      </c>
      <c r="E12">
        <v>171</v>
      </c>
      <c r="F12">
        <v>185.1</v>
      </c>
      <c r="G12">
        <v>192.9</v>
      </c>
      <c r="H12">
        <v>250</v>
      </c>
      <c r="I12">
        <v>280</v>
      </c>
      <c r="J12">
        <v>259</v>
      </c>
      <c r="K12">
        <v>278</v>
      </c>
      <c r="L12">
        <v>276</v>
      </c>
      <c r="M12" s="72"/>
      <c r="N12" s="72"/>
      <c r="O12" s="72"/>
      <c r="P12" s="72"/>
      <c r="Q12" s="72"/>
      <c r="R12" s="72"/>
      <c r="S12" s="72"/>
      <c r="T12" s="72"/>
      <c r="U12" s="1"/>
    </row>
    <row r="13" spans="1:21" ht="15">
      <c r="A13" s="1"/>
      <c r="D13" t="s">
        <v>82</v>
      </c>
      <c r="E13">
        <v>69.599999999999994</v>
      </c>
      <c r="F13">
        <v>65.5</v>
      </c>
      <c r="G13">
        <v>64.5</v>
      </c>
      <c r="H13">
        <v>47</v>
      </c>
      <c r="I13">
        <v>50</v>
      </c>
      <c r="J13">
        <v>0</v>
      </c>
      <c r="K13">
        <v>0</v>
      </c>
      <c r="L13">
        <v>0</v>
      </c>
      <c r="M13" s="72"/>
      <c r="N13" s="72"/>
      <c r="O13" s="72"/>
      <c r="P13" s="72"/>
      <c r="Q13" s="72"/>
      <c r="R13" s="72"/>
      <c r="S13" s="72"/>
      <c r="T13" s="72"/>
      <c r="U13" s="1"/>
    </row>
    <row r="14" spans="1:21" s="7" customFormat="1" ht="15">
      <c r="A14" s="6"/>
      <c r="D14" s="7" t="s">
        <v>83</v>
      </c>
      <c r="E14" s="7">
        <f>SUM(E8:E13)</f>
        <v>3697.7999999999997</v>
      </c>
      <c r="F14" s="7">
        <f t="shared" ref="F14:L14" si="2">SUM(F8:F13)</f>
        <v>3543.7000000000003</v>
      </c>
      <c r="G14" s="7">
        <f t="shared" si="2"/>
        <v>3490.6</v>
      </c>
      <c r="H14" s="7">
        <f t="shared" si="2"/>
        <v>3805</v>
      </c>
      <c r="I14" s="7">
        <f t="shared" si="2"/>
        <v>3719</v>
      </c>
      <c r="J14" s="7">
        <f t="shared" si="2"/>
        <v>3849</v>
      </c>
      <c r="K14" s="7">
        <f t="shared" si="2"/>
        <v>3987</v>
      </c>
      <c r="L14" s="7">
        <f t="shared" si="2"/>
        <v>3836</v>
      </c>
      <c r="M14" s="73">
        <f t="shared" ref="M14" si="3">SUM(M8:M13)</f>
        <v>0</v>
      </c>
      <c r="N14" s="73">
        <f t="shared" ref="N14" si="4">SUM(N8:N13)</f>
        <v>0</v>
      </c>
      <c r="O14" s="73">
        <f t="shared" ref="O14" si="5">SUM(O8:O13)</f>
        <v>0</v>
      </c>
      <c r="P14" s="73">
        <f t="shared" ref="P14" si="6">SUM(P8:P13)</f>
        <v>0</v>
      </c>
      <c r="Q14" s="73">
        <f t="shared" ref="Q14" si="7">SUM(Q8:Q13)</f>
        <v>0</v>
      </c>
      <c r="R14" s="73">
        <f t="shared" ref="R14" si="8">SUM(R8:R13)</f>
        <v>0</v>
      </c>
      <c r="S14" s="73">
        <f t="shared" ref="S14" si="9">SUM(S8:S13)</f>
        <v>0</v>
      </c>
      <c r="T14" s="73">
        <f t="shared" ref="T14" si="10">SUM(T8:T13)</f>
        <v>0</v>
      </c>
      <c r="U14" s="6"/>
    </row>
    <row r="15" spans="1:21" ht="15">
      <c r="A15" s="1"/>
      <c r="D15" t="s">
        <v>84</v>
      </c>
      <c r="E15">
        <v>2923.8</v>
      </c>
      <c r="F15">
        <v>2825.7</v>
      </c>
      <c r="G15">
        <v>2827.8</v>
      </c>
      <c r="H15">
        <v>2904</v>
      </c>
      <c r="I15">
        <v>2895</v>
      </c>
      <c r="J15">
        <v>2891</v>
      </c>
      <c r="K15">
        <v>2812</v>
      </c>
      <c r="L15">
        <v>2925</v>
      </c>
      <c r="M15" s="72"/>
      <c r="N15" s="72"/>
      <c r="O15" s="72"/>
      <c r="P15" s="72"/>
      <c r="Q15" s="72"/>
      <c r="R15" s="72"/>
      <c r="S15" s="72"/>
      <c r="T15" s="72"/>
      <c r="U15" s="1"/>
    </row>
    <row r="16" spans="1:21" ht="15">
      <c r="A16" s="1"/>
      <c r="D16" t="s">
        <v>85</v>
      </c>
      <c r="E16">
        <v>581.79999999999995</v>
      </c>
      <c r="F16">
        <v>610.5</v>
      </c>
      <c r="G16">
        <v>610.29999999999995</v>
      </c>
      <c r="H16">
        <v>592</v>
      </c>
      <c r="I16">
        <v>617</v>
      </c>
      <c r="J16">
        <v>690</v>
      </c>
      <c r="K16">
        <v>694</v>
      </c>
      <c r="L16">
        <v>318</v>
      </c>
      <c r="M16" s="72"/>
      <c r="N16" s="72"/>
      <c r="O16" s="72"/>
      <c r="P16" s="72"/>
      <c r="Q16" s="72"/>
      <c r="R16" s="72"/>
      <c r="S16" s="72"/>
      <c r="T16" s="72"/>
      <c r="U16" s="1"/>
    </row>
    <row r="17" spans="1:21" ht="15">
      <c r="A17" s="1"/>
      <c r="D17" t="s">
        <v>86</v>
      </c>
      <c r="E17">
        <v>1890.6</v>
      </c>
      <c r="F17">
        <v>1858.1</v>
      </c>
      <c r="G17">
        <v>1856.5</v>
      </c>
      <c r="H17">
        <v>1853</v>
      </c>
      <c r="I17">
        <v>1848</v>
      </c>
      <c r="J17">
        <v>1845</v>
      </c>
      <c r="K17">
        <v>1818</v>
      </c>
      <c r="L17">
        <v>1842</v>
      </c>
      <c r="M17" s="72"/>
      <c r="N17" s="72"/>
      <c r="O17" s="72"/>
      <c r="P17" s="72"/>
      <c r="Q17" s="72"/>
      <c r="R17" s="72"/>
      <c r="S17" s="72"/>
      <c r="T17" s="72"/>
      <c r="U17" s="1"/>
    </row>
    <row r="18" spans="1:21" ht="15">
      <c r="A18" s="1"/>
      <c r="D18" t="s">
        <v>87</v>
      </c>
      <c r="E18">
        <v>485.2</v>
      </c>
      <c r="F18">
        <v>461.9</v>
      </c>
      <c r="G18">
        <v>450.1</v>
      </c>
      <c r="H18">
        <v>439</v>
      </c>
      <c r="I18">
        <v>433</v>
      </c>
      <c r="J18">
        <v>421</v>
      </c>
      <c r="K18">
        <v>404</v>
      </c>
      <c r="L18">
        <v>402</v>
      </c>
      <c r="M18" s="72"/>
      <c r="N18" s="72"/>
      <c r="O18" s="72"/>
      <c r="P18" s="72"/>
      <c r="Q18" s="72"/>
      <c r="R18" s="72"/>
      <c r="S18" s="72"/>
      <c r="T18" s="72"/>
      <c r="U18" s="1"/>
    </row>
    <row r="19" spans="1:21" ht="15">
      <c r="A19" s="1"/>
      <c r="D19" t="s">
        <v>88</v>
      </c>
      <c r="E19">
        <v>455.6</v>
      </c>
      <c r="F19">
        <v>477.3</v>
      </c>
      <c r="G19">
        <v>481.1</v>
      </c>
      <c r="H19">
        <v>502</v>
      </c>
      <c r="I19">
        <v>592</v>
      </c>
      <c r="J19">
        <v>535</v>
      </c>
      <c r="K19">
        <v>484</v>
      </c>
      <c r="L19">
        <v>379</v>
      </c>
      <c r="M19" s="72"/>
      <c r="N19" s="72"/>
      <c r="O19" s="72"/>
      <c r="P19" s="72"/>
      <c r="Q19" s="72"/>
      <c r="R19" s="72"/>
      <c r="S19" s="72"/>
      <c r="T19" s="72"/>
      <c r="U19" s="1"/>
    </row>
    <row r="20" spans="1:21" s="7" customFormat="1" ht="15">
      <c r="A20" s="6"/>
      <c r="D20" s="7" t="s">
        <v>89</v>
      </c>
      <c r="E20" s="7">
        <f>SUM(E14:E19)</f>
        <v>10034.800000000001</v>
      </c>
      <c r="F20" s="7">
        <f t="shared" ref="F20:L20" si="11">SUM(F14:F19)</f>
        <v>9777.1999999999989</v>
      </c>
      <c r="G20" s="7">
        <f t="shared" si="11"/>
        <v>9716.4000000000015</v>
      </c>
      <c r="H20" s="7">
        <f t="shared" si="11"/>
        <v>10095</v>
      </c>
      <c r="I20" s="7">
        <f t="shared" si="11"/>
        <v>10104</v>
      </c>
      <c r="J20" s="7">
        <f t="shared" si="11"/>
        <v>10231</v>
      </c>
      <c r="K20" s="7">
        <f t="shared" si="11"/>
        <v>10199</v>
      </c>
      <c r="L20" s="7">
        <f t="shared" si="11"/>
        <v>9702</v>
      </c>
      <c r="M20" s="73">
        <f t="shared" ref="M20" si="12">SUM(M14:M19)</f>
        <v>0</v>
      </c>
      <c r="N20" s="73">
        <f t="shared" ref="N20" si="13">SUM(N14:N19)</f>
        <v>0</v>
      </c>
      <c r="O20" s="73">
        <f t="shared" ref="O20" si="14">SUM(O14:O19)</f>
        <v>0</v>
      </c>
      <c r="P20" s="73">
        <f t="shared" ref="P20" si="15">SUM(P14:P19)</f>
        <v>0</v>
      </c>
      <c r="Q20" s="73">
        <f t="shared" ref="Q20" si="16">SUM(Q14:Q19)</f>
        <v>0</v>
      </c>
      <c r="R20" s="73">
        <f t="shared" ref="R20" si="17">SUM(R14:R19)</f>
        <v>0</v>
      </c>
      <c r="S20" s="73">
        <f t="shared" ref="S20" si="18">SUM(S14:S19)</f>
        <v>0</v>
      </c>
      <c r="T20" s="73">
        <f t="shared" ref="T20" si="19">SUM(T14:T19)</f>
        <v>0</v>
      </c>
      <c r="U20" s="6"/>
    </row>
    <row r="21" spans="1:21" s="7" customFormat="1" ht="15">
      <c r="A21" s="6"/>
      <c r="M21" s="73"/>
      <c r="N21" s="73"/>
      <c r="O21" s="73"/>
      <c r="P21" s="73"/>
      <c r="Q21" s="73"/>
      <c r="R21" s="73"/>
      <c r="S21" s="73"/>
      <c r="T21" s="73"/>
      <c r="U21" s="6"/>
    </row>
    <row r="22" spans="1:21" ht="15">
      <c r="A22" s="1"/>
      <c r="D22" s="7" t="s">
        <v>90</v>
      </c>
      <c r="E22"/>
      <c r="F22"/>
      <c r="G22"/>
      <c r="H22"/>
      <c r="I22"/>
      <c r="J22"/>
      <c r="K22"/>
      <c r="L22"/>
      <c r="M22" s="72"/>
      <c r="N22" s="72"/>
      <c r="O22" s="72"/>
      <c r="P22" s="72"/>
      <c r="Q22" s="72"/>
      <c r="R22" s="72"/>
      <c r="S22" s="72"/>
      <c r="T22" s="72"/>
      <c r="U22" s="1"/>
    </row>
    <row r="23" spans="1:21" ht="15">
      <c r="A23" s="1"/>
      <c r="D23" t="s">
        <v>91</v>
      </c>
      <c r="E23">
        <v>194</v>
      </c>
      <c r="F23">
        <v>70.5</v>
      </c>
      <c r="G23">
        <v>50.7</v>
      </c>
      <c r="H23">
        <v>173</v>
      </c>
      <c r="I23">
        <v>164</v>
      </c>
      <c r="J23">
        <v>171</v>
      </c>
      <c r="K23">
        <v>419</v>
      </c>
      <c r="L23">
        <v>286</v>
      </c>
      <c r="M23" s="72"/>
      <c r="N23" s="72"/>
      <c r="O23" s="72"/>
      <c r="P23" s="72"/>
      <c r="Q23" s="72"/>
      <c r="R23" s="72"/>
      <c r="S23" s="72"/>
      <c r="T23" s="72"/>
      <c r="U23" s="1"/>
    </row>
    <row r="24" spans="1:21" ht="15">
      <c r="A24" s="1"/>
      <c r="D24" t="s">
        <v>48</v>
      </c>
      <c r="E24">
        <v>2160.4</v>
      </c>
      <c r="F24">
        <v>2122.1</v>
      </c>
      <c r="G24">
        <v>2009.2</v>
      </c>
      <c r="H24">
        <v>2144</v>
      </c>
      <c r="I24">
        <v>2056</v>
      </c>
      <c r="J24">
        <v>2089</v>
      </c>
      <c r="K24">
        <v>2048</v>
      </c>
      <c r="L24">
        <v>1977</v>
      </c>
      <c r="M24" s="72"/>
      <c r="N24" s="72"/>
      <c r="O24" s="72"/>
      <c r="P24" s="72"/>
      <c r="Q24" s="72"/>
      <c r="R24" s="72"/>
      <c r="S24" s="72"/>
      <c r="T24" s="72"/>
      <c r="U24" s="1"/>
    </row>
    <row r="25" spans="1:21" ht="15">
      <c r="A25" s="1"/>
      <c r="D25" t="s">
        <v>92</v>
      </c>
      <c r="E25">
        <v>44.4</v>
      </c>
      <c r="F25">
        <v>12.4</v>
      </c>
      <c r="G25">
        <v>9.8000000000000007</v>
      </c>
      <c r="H25">
        <v>59</v>
      </c>
      <c r="I25">
        <v>57</v>
      </c>
      <c r="J25">
        <v>53</v>
      </c>
      <c r="K25">
        <v>58</v>
      </c>
      <c r="L25">
        <v>66</v>
      </c>
      <c r="M25" s="72"/>
      <c r="N25" s="72"/>
      <c r="O25" s="72"/>
      <c r="P25" s="72"/>
      <c r="Q25" s="72"/>
      <c r="R25" s="72"/>
      <c r="S25" s="72"/>
      <c r="T25" s="72"/>
      <c r="U25" s="1"/>
    </row>
    <row r="26" spans="1:21" ht="15">
      <c r="A26" s="1"/>
      <c r="D26" t="s">
        <v>93</v>
      </c>
      <c r="E26">
        <v>37.799999999999997</v>
      </c>
      <c r="F26">
        <v>31.3</v>
      </c>
      <c r="G26">
        <v>29.9</v>
      </c>
      <c r="H26">
        <v>23</v>
      </c>
      <c r="I26">
        <v>22</v>
      </c>
      <c r="J26">
        <v>0</v>
      </c>
      <c r="K26">
        <v>0</v>
      </c>
      <c r="L26">
        <v>0</v>
      </c>
      <c r="M26" s="72"/>
      <c r="N26" s="72"/>
      <c r="O26" s="72"/>
      <c r="P26" s="72"/>
      <c r="Q26" s="72"/>
      <c r="R26" s="72"/>
      <c r="S26" s="72"/>
      <c r="T26" s="72"/>
      <c r="U26" s="1"/>
    </row>
    <row r="27" spans="1:21" s="7" customFormat="1" ht="15">
      <c r="A27" s="6"/>
      <c r="D27" s="7" t="s">
        <v>94</v>
      </c>
      <c r="E27" s="7">
        <f>SUM(E23:E26)</f>
        <v>2436.6000000000004</v>
      </c>
      <c r="F27" s="7">
        <f t="shared" ref="F27:L27" si="20">SUM(F23:F26)</f>
        <v>2236.3000000000002</v>
      </c>
      <c r="G27" s="7">
        <f t="shared" si="20"/>
        <v>2099.6000000000004</v>
      </c>
      <c r="H27" s="7">
        <f t="shared" si="20"/>
        <v>2399</v>
      </c>
      <c r="I27" s="7">
        <f t="shared" si="20"/>
        <v>2299</v>
      </c>
      <c r="J27" s="7">
        <f t="shared" si="20"/>
        <v>2313</v>
      </c>
      <c r="K27" s="7">
        <f t="shared" si="20"/>
        <v>2525</v>
      </c>
      <c r="L27" s="7">
        <f t="shared" si="20"/>
        <v>2329</v>
      </c>
      <c r="M27" s="73">
        <f t="shared" ref="M27" si="21">SUM(M23:M26)</f>
        <v>0</v>
      </c>
      <c r="N27" s="73">
        <f t="shared" ref="N27" si="22">SUM(N23:N26)</f>
        <v>0</v>
      </c>
      <c r="O27" s="73">
        <f t="shared" ref="O27" si="23">SUM(O23:O26)</f>
        <v>0</v>
      </c>
      <c r="P27" s="73">
        <f t="shared" ref="P27" si="24">SUM(P23:P26)</f>
        <v>0</v>
      </c>
      <c r="Q27" s="73">
        <f t="shared" ref="Q27" si="25">SUM(Q23:Q26)</f>
        <v>0</v>
      </c>
      <c r="R27" s="73">
        <f t="shared" ref="R27" si="26">SUM(R23:R26)</f>
        <v>0</v>
      </c>
      <c r="S27" s="73">
        <f t="shared" ref="S27" si="27">SUM(S23:S26)</f>
        <v>0</v>
      </c>
      <c r="T27" s="73">
        <f t="shared" ref="T27" si="28">SUM(T23:T26)</f>
        <v>0</v>
      </c>
      <c r="U27" s="6"/>
    </row>
    <row r="28" spans="1:21" s="7" customFormat="1" ht="15">
      <c r="A28" s="6"/>
      <c r="D28" s="7" t="s">
        <v>95</v>
      </c>
      <c r="E28" s="7">
        <v>2131.5</v>
      </c>
      <c r="F28" s="7">
        <v>2102.5</v>
      </c>
      <c r="G28" s="7">
        <v>2085.6</v>
      </c>
      <c r="H28" s="7">
        <v>1941</v>
      </c>
      <c r="I28" s="7">
        <v>1923</v>
      </c>
      <c r="J28" s="7">
        <v>1929</v>
      </c>
      <c r="K28" s="7">
        <v>1656</v>
      </c>
      <c r="L28" s="7">
        <v>1674</v>
      </c>
      <c r="M28" s="73"/>
      <c r="N28" s="73"/>
      <c r="O28" s="73"/>
      <c r="P28" s="73"/>
      <c r="Q28" s="73"/>
      <c r="R28" s="73"/>
      <c r="S28" s="73"/>
      <c r="T28" s="73"/>
      <c r="U28" s="6"/>
    </row>
    <row r="29" spans="1:21" ht="15">
      <c r="A29" s="1"/>
      <c r="D29" s="7" t="s">
        <v>96</v>
      </c>
      <c r="E29"/>
      <c r="F29"/>
      <c r="G29"/>
      <c r="H29"/>
      <c r="I29"/>
      <c r="J29"/>
      <c r="K29"/>
      <c r="L29"/>
      <c r="M29" s="72"/>
      <c r="N29" s="72"/>
      <c r="O29" s="72"/>
      <c r="P29" s="72"/>
      <c r="Q29" s="72"/>
      <c r="R29" s="72"/>
      <c r="S29" s="72"/>
      <c r="T29" s="72"/>
      <c r="U29" s="1"/>
    </row>
    <row r="30" spans="1:21" ht="15">
      <c r="A30" s="1"/>
      <c r="D30" t="s">
        <v>97</v>
      </c>
      <c r="E30">
        <v>761.3</v>
      </c>
      <c r="F30">
        <v>747.9</v>
      </c>
      <c r="G30">
        <v>739.7</v>
      </c>
      <c r="H30">
        <v>755</v>
      </c>
      <c r="I30">
        <v>746</v>
      </c>
      <c r="J30">
        <v>734</v>
      </c>
      <c r="K30">
        <v>723</v>
      </c>
      <c r="L30">
        <v>0</v>
      </c>
      <c r="M30" s="72"/>
      <c r="N30" s="72"/>
      <c r="O30" s="72"/>
      <c r="P30" s="72"/>
      <c r="Q30" s="72"/>
      <c r="R30" s="72"/>
      <c r="S30" s="72"/>
      <c r="T30" s="72"/>
      <c r="U30" s="1"/>
    </row>
    <row r="31" spans="1:21" ht="15">
      <c r="A31" s="1"/>
      <c r="D31" t="s">
        <v>98</v>
      </c>
      <c r="E31">
        <v>300.2</v>
      </c>
      <c r="F31">
        <v>284.39999999999998</v>
      </c>
      <c r="G31">
        <v>269.39999999999998</v>
      </c>
      <c r="H31">
        <v>298</v>
      </c>
      <c r="I31">
        <v>292</v>
      </c>
      <c r="J31">
        <v>283</v>
      </c>
      <c r="K31">
        <v>273</v>
      </c>
      <c r="L31">
        <v>306</v>
      </c>
      <c r="M31" s="72"/>
      <c r="N31" s="72"/>
      <c r="O31" s="72"/>
      <c r="P31" s="72"/>
      <c r="Q31" s="72"/>
      <c r="R31" s="72"/>
      <c r="S31" s="72"/>
      <c r="T31" s="72"/>
      <c r="U31" s="1"/>
    </row>
    <row r="32" spans="1:21" ht="15">
      <c r="A32" s="1"/>
      <c r="D32" t="s">
        <v>99</v>
      </c>
      <c r="E32">
        <v>389.4</v>
      </c>
      <c r="F32">
        <v>352.1</v>
      </c>
      <c r="G32">
        <v>351.9</v>
      </c>
      <c r="H32">
        <v>357</v>
      </c>
      <c r="I32">
        <v>459</v>
      </c>
      <c r="J32">
        <v>470</v>
      </c>
      <c r="K32">
        <v>444</v>
      </c>
      <c r="L32">
        <v>549</v>
      </c>
      <c r="M32" s="72"/>
      <c r="N32" s="72"/>
      <c r="O32" s="72"/>
      <c r="P32" s="72"/>
      <c r="Q32" s="72"/>
      <c r="R32" s="72"/>
      <c r="S32" s="72"/>
      <c r="T32" s="72"/>
      <c r="U32" s="1"/>
    </row>
    <row r="33" spans="1:21" s="7" customFormat="1" ht="15">
      <c r="A33" s="6"/>
      <c r="D33" s="7" t="s">
        <v>100</v>
      </c>
      <c r="E33" s="7">
        <f>SUM(E30:E32)</f>
        <v>1450.9</v>
      </c>
      <c r="F33" s="7">
        <f t="shared" ref="F33:L33" si="29">SUM(F30:F32)</f>
        <v>1384.4</v>
      </c>
      <c r="G33" s="7">
        <f t="shared" si="29"/>
        <v>1361</v>
      </c>
      <c r="H33" s="7">
        <f t="shared" si="29"/>
        <v>1410</v>
      </c>
      <c r="I33" s="7">
        <f t="shared" si="29"/>
        <v>1497</v>
      </c>
      <c r="J33" s="7">
        <f t="shared" si="29"/>
        <v>1487</v>
      </c>
      <c r="K33" s="7">
        <f t="shared" si="29"/>
        <v>1440</v>
      </c>
      <c r="L33" s="7">
        <f t="shared" si="29"/>
        <v>855</v>
      </c>
      <c r="M33" s="73">
        <f t="shared" ref="M33" si="30">SUM(M30:M32)</f>
        <v>0</v>
      </c>
      <c r="N33" s="73">
        <f t="shared" ref="N33" si="31">SUM(N30:N32)</f>
        <v>0</v>
      </c>
      <c r="O33" s="73">
        <f t="shared" ref="O33" si="32">SUM(O30:O32)</f>
        <v>0</v>
      </c>
      <c r="P33" s="73">
        <f t="shared" ref="P33" si="33">SUM(P30:P32)</f>
        <v>0</v>
      </c>
      <c r="Q33" s="73">
        <f t="shared" ref="Q33" si="34">SUM(Q30:Q32)</f>
        <v>0</v>
      </c>
      <c r="R33" s="73">
        <f t="shared" ref="R33" si="35">SUM(R30:R32)</f>
        <v>0</v>
      </c>
      <c r="S33" s="73">
        <f t="shared" ref="S33" si="36">SUM(S30:S32)</f>
        <v>0</v>
      </c>
      <c r="T33" s="73">
        <f t="shared" ref="T33" si="37">SUM(T30:T32)</f>
        <v>0</v>
      </c>
      <c r="U33" s="6"/>
    </row>
    <row r="34" spans="1:21" s="7" customFormat="1" ht="15">
      <c r="A34" s="6"/>
      <c r="D34" s="7" t="s">
        <v>120</v>
      </c>
      <c r="E34" s="7">
        <f>E27+E28+E33</f>
        <v>6019</v>
      </c>
      <c r="F34" s="7">
        <f t="shared" ref="F34:T34" si="38">F27+F28+F33</f>
        <v>5723.2000000000007</v>
      </c>
      <c r="G34" s="7">
        <f t="shared" si="38"/>
        <v>5546.2000000000007</v>
      </c>
      <c r="H34" s="7">
        <f t="shared" si="38"/>
        <v>5750</v>
      </c>
      <c r="I34" s="7">
        <f t="shared" si="38"/>
        <v>5719</v>
      </c>
      <c r="J34" s="7">
        <f t="shared" si="38"/>
        <v>5729</v>
      </c>
      <c r="K34" s="7">
        <f t="shared" si="38"/>
        <v>5621</v>
      </c>
      <c r="L34" s="7">
        <f t="shared" si="38"/>
        <v>4858</v>
      </c>
      <c r="M34" s="73">
        <f t="shared" si="38"/>
        <v>0</v>
      </c>
      <c r="N34" s="73">
        <f t="shared" si="38"/>
        <v>0</v>
      </c>
      <c r="O34" s="73">
        <f t="shared" si="38"/>
        <v>0</v>
      </c>
      <c r="P34" s="73">
        <f t="shared" si="38"/>
        <v>0</v>
      </c>
      <c r="Q34" s="73">
        <f t="shared" si="38"/>
        <v>0</v>
      </c>
      <c r="R34" s="73">
        <f t="shared" si="38"/>
        <v>0</v>
      </c>
      <c r="S34" s="73">
        <f t="shared" si="38"/>
        <v>0</v>
      </c>
      <c r="T34" s="73">
        <f t="shared" si="38"/>
        <v>0</v>
      </c>
      <c r="U34" s="6"/>
    </row>
    <row r="35" spans="1:21" ht="15">
      <c r="A35" s="1"/>
      <c r="D35" s="7" t="s">
        <v>121</v>
      </c>
      <c r="M35" s="72"/>
      <c r="N35" s="72"/>
      <c r="O35" s="72"/>
      <c r="P35" s="72"/>
      <c r="Q35" s="72"/>
      <c r="R35" s="72"/>
      <c r="S35" s="72"/>
      <c r="T35" s="72"/>
      <c r="U35" s="1"/>
    </row>
    <row r="36" spans="1:21" ht="15">
      <c r="A36" s="1"/>
      <c r="D36" t="s">
        <v>101</v>
      </c>
      <c r="E36">
        <v>2.5</v>
      </c>
      <c r="F36">
        <v>2.5</v>
      </c>
      <c r="G36">
        <v>2.5</v>
      </c>
      <c r="H36">
        <v>3</v>
      </c>
      <c r="I36">
        <v>3</v>
      </c>
      <c r="J36">
        <v>3</v>
      </c>
      <c r="K36">
        <v>3</v>
      </c>
      <c r="L36">
        <v>3</v>
      </c>
      <c r="M36" s="72"/>
      <c r="N36" s="72"/>
      <c r="O36" s="72"/>
      <c r="P36" s="72"/>
      <c r="Q36" s="72"/>
      <c r="R36" s="72"/>
      <c r="S36" s="72"/>
      <c r="T36" s="72"/>
      <c r="U36" s="1"/>
    </row>
    <row r="37" spans="1:21" ht="15">
      <c r="A37" s="1"/>
      <c r="D37" t="s">
        <v>102</v>
      </c>
      <c r="E37">
        <v>1102.3</v>
      </c>
      <c r="F37">
        <v>1110.7</v>
      </c>
      <c r="G37">
        <v>1127.0999999999999</v>
      </c>
      <c r="H37">
        <v>1146</v>
      </c>
      <c r="I37">
        <v>1111</v>
      </c>
      <c r="J37">
        <v>1116</v>
      </c>
      <c r="K37">
        <v>1129</v>
      </c>
      <c r="L37">
        <v>1145</v>
      </c>
      <c r="M37" s="72"/>
      <c r="N37" s="72"/>
      <c r="O37" s="72"/>
      <c r="P37" s="72"/>
      <c r="Q37" s="72"/>
      <c r="R37" s="72"/>
      <c r="S37" s="72"/>
      <c r="T37" s="72"/>
      <c r="U37" s="1"/>
    </row>
    <row r="38" spans="1:21" ht="15">
      <c r="A38" s="1"/>
      <c r="D38" t="s">
        <v>103</v>
      </c>
      <c r="E38">
        <v>4722.3999999999996</v>
      </c>
      <c r="F38">
        <v>4958.8</v>
      </c>
      <c r="G38">
        <v>5127.3</v>
      </c>
      <c r="H38">
        <v>5336</v>
      </c>
      <c r="I38">
        <v>5461</v>
      </c>
      <c r="J38">
        <v>5598</v>
      </c>
      <c r="K38">
        <v>5757</v>
      </c>
      <c r="L38">
        <v>5942</v>
      </c>
      <c r="M38" s="72"/>
      <c r="N38" s="72"/>
      <c r="O38" s="72"/>
      <c r="P38" s="72"/>
      <c r="Q38" s="72"/>
      <c r="R38" s="72"/>
      <c r="S38" s="72"/>
      <c r="T38" s="72"/>
      <c r="U38" s="1"/>
    </row>
    <row r="39" spans="1:21" ht="15">
      <c r="A39" s="1"/>
      <c r="D39" t="s">
        <v>104</v>
      </c>
      <c r="E39">
        <v>-430.3</v>
      </c>
      <c r="F39">
        <v>-567.6</v>
      </c>
      <c r="G39">
        <v>-609.20000000000005</v>
      </c>
      <c r="H39">
        <v>-674</v>
      </c>
      <c r="I39">
        <v>-675</v>
      </c>
      <c r="J39">
        <v>-670</v>
      </c>
      <c r="K39">
        <v>-779</v>
      </c>
      <c r="L39">
        <v>-727</v>
      </c>
      <c r="M39" s="72"/>
      <c r="N39" s="72"/>
      <c r="O39" s="72"/>
      <c r="P39" s="72"/>
      <c r="Q39" s="72"/>
      <c r="R39" s="72"/>
      <c r="S39" s="72"/>
      <c r="T39" s="72"/>
      <c r="U39" s="1"/>
    </row>
    <row r="40" spans="1:21" ht="15">
      <c r="A40" s="1"/>
      <c r="D40" t="s">
        <v>105</v>
      </c>
      <c r="E40">
        <v>-1486.2</v>
      </c>
      <c r="F40">
        <v>-1544.1</v>
      </c>
      <c r="G40">
        <v>-1581.3</v>
      </c>
      <c r="H40">
        <v>-1585</v>
      </c>
      <c r="I40">
        <v>-1626</v>
      </c>
      <c r="J40">
        <v>-1653</v>
      </c>
      <c r="K40">
        <v>-1653</v>
      </c>
      <c r="L40">
        <v>-1657</v>
      </c>
      <c r="M40" s="72"/>
      <c r="N40" s="72"/>
      <c r="O40" s="72"/>
      <c r="P40" s="72"/>
      <c r="Q40" s="72"/>
      <c r="R40" s="72"/>
      <c r="S40" s="72"/>
      <c r="T40" s="72"/>
      <c r="U40" s="1"/>
    </row>
    <row r="41" spans="1:21" ht="15">
      <c r="A41" s="1"/>
      <c r="D41" t="s">
        <v>106</v>
      </c>
      <c r="E41">
        <v>3910.7</v>
      </c>
      <c r="F41">
        <v>3960.3</v>
      </c>
      <c r="G41">
        <v>4066.4</v>
      </c>
      <c r="H41">
        <v>4226</v>
      </c>
      <c r="I41">
        <v>4274</v>
      </c>
      <c r="J41">
        <v>4394</v>
      </c>
      <c r="K41">
        <v>4457</v>
      </c>
      <c r="L41">
        <v>4706</v>
      </c>
      <c r="M41" s="72"/>
      <c r="N41" s="72"/>
      <c r="O41" s="72"/>
      <c r="P41" s="72"/>
      <c r="Q41" s="72"/>
      <c r="R41" s="72"/>
      <c r="S41" s="72"/>
      <c r="T41" s="72"/>
      <c r="U41" s="1"/>
    </row>
    <row r="42" spans="1:21" ht="15">
      <c r="A42" s="1"/>
      <c r="D42" t="s">
        <v>107</v>
      </c>
      <c r="E42">
        <v>105.1</v>
      </c>
      <c r="F42">
        <v>93.7</v>
      </c>
      <c r="G42">
        <v>103.8</v>
      </c>
      <c r="H42">
        <v>119</v>
      </c>
      <c r="I42">
        <v>111</v>
      </c>
      <c r="J42">
        <v>108</v>
      </c>
      <c r="K42">
        <v>121</v>
      </c>
      <c r="L42">
        <v>138</v>
      </c>
      <c r="M42" s="72"/>
      <c r="N42" s="72"/>
      <c r="O42" s="72"/>
      <c r="P42" s="72"/>
      <c r="Q42" s="72"/>
      <c r="R42" s="72"/>
      <c r="S42" s="72"/>
      <c r="T42" s="72"/>
      <c r="U42" s="1"/>
    </row>
    <row r="43" spans="1:21" s="7" customFormat="1" ht="15">
      <c r="A43" s="6"/>
      <c r="D43" s="7" t="s">
        <v>108</v>
      </c>
      <c r="E43" s="7">
        <v>4015.8</v>
      </c>
      <c r="F43" s="7">
        <v>4054</v>
      </c>
      <c r="G43" s="7">
        <v>4170.2</v>
      </c>
      <c r="H43" s="7">
        <v>4345</v>
      </c>
      <c r="I43" s="7">
        <v>4385</v>
      </c>
      <c r="J43" s="7">
        <v>4502</v>
      </c>
      <c r="K43" s="7">
        <v>4578</v>
      </c>
      <c r="L43" s="7">
        <v>4844</v>
      </c>
      <c r="M43" s="73"/>
      <c r="N43" s="73"/>
      <c r="O43" s="73"/>
      <c r="P43" s="73"/>
      <c r="Q43" s="73"/>
      <c r="R43" s="73"/>
      <c r="S43" s="73"/>
      <c r="T43" s="73"/>
      <c r="U43" s="6"/>
    </row>
    <row r="44" spans="1:21" s="7" customFormat="1" ht="15">
      <c r="A44" s="6"/>
      <c r="D44" s="7" t="s">
        <v>109</v>
      </c>
      <c r="E44" s="7">
        <f>E34+E43</f>
        <v>10034.799999999999</v>
      </c>
      <c r="F44" s="7">
        <f t="shared" ref="F44:L44" si="39">F34+F43</f>
        <v>9777.2000000000007</v>
      </c>
      <c r="G44" s="7">
        <f t="shared" si="39"/>
        <v>9716.4000000000015</v>
      </c>
      <c r="H44" s="7">
        <f t="shared" si="39"/>
        <v>10095</v>
      </c>
      <c r="I44" s="7">
        <f t="shared" si="39"/>
        <v>10104</v>
      </c>
      <c r="J44" s="7">
        <f t="shared" si="39"/>
        <v>10231</v>
      </c>
      <c r="K44" s="7">
        <f t="shared" si="39"/>
        <v>10199</v>
      </c>
      <c r="L44" s="7">
        <f t="shared" si="39"/>
        <v>9702</v>
      </c>
      <c r="M44" s="73">
        <f t="shared" ref="M44" si="40">M34+M43</f>
        <v>0</v>
      </c>
      <c r="N44" s="73">
        <f t="shared" ref="N44" si="41">N34+N43</f>
        <v>0</v>
      </c>
      <c r="O44" s="73">
        <f t="shared" ref="O44" si="42">O34+O43</f>
        <v>0</v>
      </c>
      <c r="P44" s="73">
        <f t="shared" ref="P44" si="43">P34+P43</f>
        <v>0</v>
      </c>
      <c r="Q44" s="73">
        <f t="shared" ref="Q44" si="44">Q34+Q43</f>
        <v>0</v>
      </c>
      <c r="R44" s="73">
        <f t="shared" ref="R44" si="45">R34+R43</f>
        <v>0</v>
      </c>
      <c r="S44" s="73">
        <f t="shared" ref="S44" si="46">S34+S43</f>
        <v>0</v>
      </c>
      <c r="T44" s="73">
        <f t="shared" ref="T44" si="47">T34+T43</f>
        <v>0</v>
      </c>
      <c r="U44" s="6"/>
    </row>
    <row r="45" spans="1:21" ht="15">
      <c r="A45" s="1"/>
      <c r="D45" t="s">
        <v>110</v>
      </c>
      <c r="E45"/>
      <c r="F45"/>
      <c r="G45"/>
      <c r="H45"/>
      <c r="I45"/>
      <c r="J45"/>
      <c r="K45"/>
      <c r="L45">
        <v>0.01</v>
      </c>
      <c r="M45" s="72"/>
      <c r="N45" s="72"/>
      <c r="O45" s="72"/>
      <c r="P45" s="72"/>
      <c r="Q45" s="72"/>
      <c r="R45" s="72"/>
      <c r="S45" s="72"/>
      <c r="T45" s="72"/>
      <c r="U45" s="1"/>
    </row>
    <row r="46" spans="1:21" ht="15">
      <c r="A46" s="1"/>
      <c r="D46" t="s">
        <v>111</v>
      </c>
      <c r="E46"/>
      <c r="F46"/>
      <c r="G46"/>
      <c r="H46"/>
      <c r="I46"/>
      <c r="J46"/>
      <c r="K46"/>
      <c r="L46">
        <v>5000000</v>
      </c>
      <c r="M46" s="72"/>
      <c r="N46" s="72"/>
      <c r="O46" s="72"/>
      <c r="P46" s="72"/>
      <c r="Q46" s="72"/>
      <c r="R46" s="72"/>
      <c r="S46" s="72"/>
      <c r="T46" s="72"/>
      <c r="U46" s="1"/>
    </row>
    <row r="47" spans="1:21" ht="15">
      <c r="A47" s="1"/>
      <c r="D47" t="s">
        <v>112</v>
      </c>
      <c r="E47"/>
      <c r="F47"/>
      <c r="G47"/>
      <c r="H47"/>
      <c r="I47"/>
      <c r="J47"/>
      <c r="K47"/>
      <c r="L47">
        <v>0</v>
      </c>
      <c r="M47" s="72"/>
      <c r="N47" s="72"/>
      <c r="O47" s="72"/>
      <c r="P47" s="72"/>
      <c r="Q47" s="72"/>
      <c r="R47" s="72"/>
      <c r="S47" s="72"/>
      <c r="T47" s="72"/>
      <c r="U47" s="1"/>
    </row>
    <row r="48" spans="1:21" ht="15">
      <c r="A48" s="1"/>
      <c r="D48" t="s">
        <v>113</v>
      </c>
      <c r="E48"/>
      <c r="F48"/>
      <c r="G48"/>
      <c r="H48"/>
      <c r="I48"/>
      <c r="J48"/>
      <c r="K48"/>
      <c r="L48">
        <v>0.01</v>
      </c>
      <c r="M48" s="72"/>
      <c r="N48" s="72"/>
      <c r="O48" s="72"/>
      <c r="P48" s="72"/>
      <c r="Q48" s="72"/>
      <c r="R48" s="72"/>
      <c r="S48" s="72"/>
      <c r="T48" s="72"/>
      <c r="U48" s="1"/>
    </row>
    <row r="49" spans="1:21" ht="15">
      <c r="A49" s="1"/>
      <c r="D49" t="s">
        <v>114</v>
      </c>
      <c r="E49"/>
      <c r="F49"/>
      <c r="G49"/>
      <c r="H49"/>
      <c r="I49"/>
      <c r="J49"/>
      <c r="K49"/>
      <c r="L49">
        <v>390000000</v>
      </c>
      <c r="M49" s="72"/>
      <c r="N49" s="72"/>
      <c r="O49" s="72"/>
      <c r="P49" s="72"/>
      <c r="Q49" s="72"/>
      <c r="R49" s="72"/>
      <c r="S49" s="72"/>
      <c r="T49" s="72"/>
      <c r="U49" s="1"/>
    </row>
    <row r="50" spans="1:21" ht="15">
      <c r="A50" s="1"/>
      <c r="D50" t="s">
        <v>115</v>
      </c>
      <c r="E50"/>
      <c r="F50"/>
      <c r="G50"/>
      <c r="H50"/>
      <c r="I50"/>
      <c r="J50"/>
      <c r="K50"/>
      <c r="L50">
        <v>246387057</v>
      </c>
      <c r="M50" s="72"/>
      <c r="N50" s="72"/>
      <c r="O50" s="72"/>
      <c r="P50" s="72"/>
      <c r="Q50" s="72"/>
      <c r="R50" s="72"/>
      <c r="S50" s="72"/>
      <c r="T50" s="72"/>
      <c r="U50" s="1"/>
    </row>
    <row r="51" spans="1:21" ht="15">
      <c r="A51" s="1"/>
      <c r="D51" t="s">
        <v>116</v>
      </c>
      <c r="E51"/>
      <c r="F51"/>
      <c r="G51"/>
      <c r="H51"/>
      <c r="I51"/>
      <c r="J51"/>
      <c r="K51"/>
      <c r="L51">
        <v>206407543</v>
      </c>
      <c r="M51" s="72"/>
      <c r="N51" s="72"/>
      <c r="O51" s="72"/>
      <c r="P51" s="72"/>
      <c r="Q51" s="72"/>
      <c r="R51" s="72"/>
      <c r="S51" s="72"/>
      <c r="T51" s="72"/>
      <c r="U51" s="1"/>
    </row>
    <row r="52" spans="1:21" ht="15">
      <c r="A52" s="1"/>
      <c r="D52" t="s">
        <v>117</v>
      </c>
      <c r="E52"/>
      <c r="F52"/>
      <c r="G52"/>
      <c r="H52"/>
      <c r="I52"/>
      <c r="J52"/>
      <c r="K52"/>
      <c r="L52">
        <v>39979514</v>
      </c>
      <c r="M52" s="72"/>
      <c r="N52" s="72"/>
      <c r="O52" s="72"/>
      <c r="P52" s="72"/>
      <c r="Q52" s="72"/>
      <c r="R52" s="72"/>
      <c r="S52" s="72"/>
      <c r="T52" s="72"/>
      <c r="U52" s="1"/>
    </row>
    <row r="53" spans="1:21" ht="15">
      <c r="A53" s="1"/>
      <c r="D53" t="s">
        <v>118</v>
      </c>
      <c r="E53"/>
      <c r="F53"/>
      <c r="G53"/>
      <c r="H53"/>
      <c r="I53"/>
      <c r="J53"/>
      <c r="K53"/>
      <c r="L53"/>
      <c r="M53" s="72"/>
      <c r="N53" s="72"/>
      <c r="O53" s="72"/>
      <c r="P53" s="72"/>
      <c r="Q53" s="72"/>
      <c r="R53" s="72"/>
      <c r="S53" s="72"/>
      <c r="T53" s="72"/>
      <c r="U53" s="1"/>
    </row>
    <row r="54" spans="1:21" ht="15">
      <c r="A54" s="1"/>
      <c r="D54" t="s">
        <v>119</v>
      </c>
      <c r="E54"/>
      <c r="F54"/>
      <c r="G54"/>
      <c r="H54"/>
      <c r="I54"/>
      <c r="J54"/>
      <c r="K54"/>
      <c r="L54"/>
      <c r="M54" s="72"/>
      <c r="N54" s="72"/>
      <c r="O54" s="72"/>
      <c r="P54" s="72"/>
      <c r="Q54" s="72"/>
      <c r="R54" s="72"/>
      <c r="S54" s="72"/>
      <c r="T54" s="72"/>
      <c r="U54" s="1"/>
    </row>
    <row r="55" spans="1:21" ht="15">
      <c r="A55" s="1"/>
      <c r="D55" t="s">
        <v>113</v>
      </c>
      <c r="E55"/>
      <c r="F55"/>
      <c r="G55"/>
      <c r="H55"/>
      <c r="I55"/>
      <c r="J55"/>
      <c r="K55"/>
      <c r="L55">
        <v>0.01</v>
      </c>
      <c r="M55" s="72"/>
      <c r="N55" s="72"/>
      <c r="O55" s="72"/>
      <c r="P55" s="72"/>
      <c r="Q55" s="72"/>
      <c r="R55" s="72"/>
      <c r="S55" s="72"/>
      <c r="T55" s="72"/>
      <c r="U55" s="1"/>
    </row>
    <row r="56" spans="1:21" ht="15">
      <c r="A56" s="1"/>
      <c r="D56" t="s">
        <v>114</v>
      </c>
      <c r="E56"/>
      <c r="F56"/>
      <c r="G56"/>
      <c r="H56"/>
      <c r="I56"/>
      <c r="J56"/>
      <c r="K56"/>
      <c r="L56">
        <v>25000000</v>
      </c>
      <c r="M56" s="72"/>
      <c r="N56" s="72"/>
      <c r="O56" s="72"/>
      <c r="P56" s="72"/>
      <c r="Q56" s="72"/>
      <c r="R56" s="72"/>
      <c r="S56" s="72"/>
      <c r="T56" s="72"/>
      <c r="U56" s="1"/>
    </row>
    <row r="57" spans="1:21" ht="15">
      <c r="A57" s="1"/>
      <c r="D57" t="s">
        <v>115</v>
      </c>
      <c r="E57"/>
      <c r="F57"/>
      <c r="G57"/>
      <c r="H57"/>
      <c r="I57"/>
      <c r="J57"/>
      <c r="K57"/>
      <c r="L57">
        <v>0</v>
      </c>
      <c r="M57" s="72"/>
      <c r="N57" s="72"/>
      <c r="O57" s="72"/>
      <c r="P57" s="72"/>
      <c r="Q57" s="72"/>
      <c r="R57" s="72"/>
      <c r="S57" s="72"/>
      <c r="T57" s="72"/>
      <c r="U57" s="1"/>
    </row>
    <row r="58" spans="1:21" ht="15">
      <c r="A58" s="1"/>
      <c r="D58" t="s">
        <v>116</v>
      </c>
      <c r="E58"/>
      <c r="F58"/>
      <c r="G58"/>
      <c r="H58"/>
      <c r="I58"/>
      <c r="J58"/>
      <c r="K58"/>
      <c r="L58">
        <v>0</v>
      </c>
      <c r="M58" s="72"/>
      <c r="N58" s="72"/>
      <c r="O58" s="72"/>
      <c r="P58" s="72"/>
      <c r="Q58" s="72"/>
      <c r="R58" s="72"/>
      <c r="S58" s="72"/>
      <c r="T58" s="72"/>
      <c r="U58" s="1"/>
    </row>
    <row r="59" spans="1:21" ht="15">
      <c r="A59" s="1"/>
      <c r="M59" s="72"/>
      <c r="N59" s="72"/>
      <c r="O59" s="72"/>
      <c r="P59" s="72"/>
      <c r="Q59" s="72"/>
      <c r="R59" s="72"/>
      <c r="S59" s="72"/>
      <c r="T59" s="72"/>
      <c r="U59" s="1"/>
    </row>
    <row r="60" spans="1:21" ht="15">
      <c r="A60" s="1"/>
      <c r="M60" s="72"/>
      <c r="N60" s="72"/>
      <c r="O60" s="72"/>
      <c r="P60" s="72"/>
      <c r="Q60" s="72"/>
      <c r="R60" s="72"/>
      <c r="S60" s="72"/>
      <c r="T60" s="72"/>
      <c r="U60" s="1"/>
    </row>
    <row r="61" spans="1:21" ht="15">
      <c r="A61" s="1"/>
      <c r="M61" s="72"/>
      <c r="N61" s="72"/>
      <c r="O61" s="72"/>
      <c r="P61" s="72"/>
      <c r="Q61" s="72"/>
      <c r="R61" s="72"/>
      <c r="S61" s="72"/>
      <c r="T61" s="72"/>
      <c r="U61" s="1"/>
    </row>
    <row r="62" spans="1:21" s="7" customFormat="1" ht="15">
      <c r="A62" s="6"/>
      <c r="D62" s="7" t="s">
        <v>122</v>
      </c>
      <c r="E62" s="7">
        <f>E44-E20</f>
        <v>0</v>
      </c>
      <c r="F62" s="7">
        <f t="shared" ref="F62:T62" si="48">F44-F20</f>
        <v>0</v>
      </c>
      <c r="G62" s="7">
        <f t="shared" si="48"/>
        <v>0</v>
      </c>
      <c r="H62" s="7">
        <f t="shared" si="48"/>
        <v>0</v>
      </c>
      <c r="I62" s="7">
        <f t="shared" si="48"/>
        <v>0</v>
      </c>
      <c r="J62" s="7">
        <f t="shared" si="48"/>
        <v>0</v>
      </c>
      <c r="K62" s="7">
        <f t="shared" si="48"/>
        <v>0</v>
      </c>
      <c r="L62" s="7">
        <f t="shared" si="48"/>
        <v>0</v>
      </c>
      <c r="M62" s="73">
        <f t="shared" si="48"/>
        <v>0</v>
      </c>
      <c r="N62" s="73">
        <f t="shared" si="48"/>
        <v>0</v>
      </c>
      <c r="O62" s="73">
        <f t="shared" si="48"/>
        <v>0</v>
      </c>
      <c r="P62" s="73">
        <f t="shared" si="48"/>
        <v>0</v>
      </c>
      <c r="Q62" s="73">
        <f t="shared" si="48"/>
        <v>0</v>
      </c>
      <c r="R62" s="73">
        <f t="shared" si="48"/>
        <v>0</v>
      </c>
      <c r="S62" s="73">
        <f t="shared" si="48"/>
        <v>0</v>
      </c>
      <c r="T62" s="73">
        <f t="shared" si="48"/>
        <v>0</v>
      </c>
      <c r="U62" s="6"/>
    </row>
    <row r="63" spans="1:21" ht="15">
      <c r="A63" s="1"/>
      <c r="M63" s="72"/>
      <c r="N63" s="72"/>
      <c r="O63" s="72"/>
      <c r="P63" s="72"/>
      <c r="Q63" s="72"/>
      <c r="R63" s="72"/>
      <c r="S63" s="72"/>
      <c r="T63" s="72"/>
      <c r="U63" s="1"/>
    </row>
    <row r="64" spans="1:21" ht="15">
      <c r="A64" s="1"/>
      <c r="M64" s="57"/>
      <c r="N64" s="57"/>
      <c r="O64" s="57"/>
      <c r="P64" s="57"/>
      <c r="Q64" s="57"/>
      <c r="R64" s="57"/>
      <c r="S64" s="57"/>
      <c r="T64" s="57"/>
      <c r="U64" s="1"/>
    </row>
    <row r="65" spans="1:21" ht="15">
      <c r="A65" s="1"/>
      <c r="M65" s="57"/>
      <c r="N65" s="57"/>
      <c r="O65" s="57"/>
      <c r="P65" s="57"/>
      <c r="Q65" s="57"/>
      <c r="R65" s="57"/>
      <c r="S65" s="57"/>
      <c r="T65" s="57"/>
      <c r="U65" s="1"/>
    </row>
    <row r="66" spans="1:21" ht="15">
      <c r="A66" s="1"/>
      <c r="M66" s="57"/>
      <c r="N66" s="57"/>
      <c r="O66" s="57"/>
      <c r="P66" s="57"/>
      <c r="Q66" s="57"/>
      <c r="R66" s="57"/>
      <c r="S66" s="57"/>
      <c r="T66" s="57"/>
      <c r="U66" s="1"/>
    </row>
    <row r="67" spans="1:21" ht="15">
      <c r="A67" s="1"/>
      <c r="M67" s="57"/>
      <c r="N67" s="57"/>
      <c r="O67" s="57"/>
      <c r="P67" s="57"/>
      <c r="Q67" s="57"/>
      <c r="R67" s="57"/>
      <c r="S67" s="57"/>
      <c r="T67" s="57"/>
      <c r="U67" s="1"/>
    </row>
    <row r="68" spans="1:21" ht="15">
      <c r="A68" s="1"/>
      <c r="M68" s="57"/>
      <c r="N68" s="57"/>
      <c r="O68" s="57"/>
      <c r="P68" s="57"/>
      <c r="Q68" s="57"/>
      <c r="R68" s="57"/>
      <c r="S68" s="57"/>
      <c r="T68" s="57"/>
      <c r="U68" s="1"/>
    </row>
    <row r="69" spans="1:21" ht="15">
      <c r="A69" s="1"/>
      <c r="M69" s="57"/>
      <c r="N69" s="57"/>
      <c r="O69" s="57"/>
      <c r="P69" s="57"/>
      <c r="Q69" s="57"/>
      <c r="R69" s="57"/>
      <c r="S69" s="57"/>
      <c r="T69" s="57"/>
      <c r="U69" s="1"/>
    </row>
    <row r="70" spans="1:21" ht="15">
      <c r="A70" s="1"/>
      <c r="M70" s="57"/>
      <c r="N70" s="57"/>
      <c r="O70" s="57"/>
      <c r="P70" s="57"/>
      <c r="Q70" s="57"/>
      <c r="R70" s="57"/>
      <c r="S70" s="57"/>
      <c r="T70" s="57"/>
      <c r="U70" s="1"/>
    </row>
    <row r="71" spans="1:21" ht="15">
      <c r="A71" s="1"/>
      <c r="M71" s="57"/>
      <c r="N71" s="57"/>
      <c r="O71" s="57"/>
      <c r="P71" s="57"/>
      <c r="Q71" s="57"/>
      <c r="R71" s="57"/>
      <c r="S71" s="57"/>
      <c r="T71" s="57"/>
      <c r="U71" s="1"/>
    </row>
    <row r="72" spans="1:21" ht="15">
      <c r="A72" s="1"/>
      <c r="M72" s="57"/>
      <c r="N72" s="57"/>
      <c r="O72" s="57"/>
      <c r="P72" s="57"/>
      <c r="Q72" s="57"/>
      <c r="R72" s="57"/>
      <c r="S72" s="57"/>
      <c r="T72" s="57"/>
      <c r="U72" s="1"/>
    </row>
    <row r="73" spans="1:21" ht="15">
      <c r="A73" s="1"/>
      <c r="M73" s="57"/>
      <c r="N73" s="57"/>
      <c r="O73" s="57"/>
      <c r="P73" s="57"/>
      <c r="Q73" s="57"/>
      <c r="R73" s="57"/>
      <c r="S73" s="57"/>
      <c r="T73" s="57"/>
      <c r="U73" s="1"/>
    </row>
    <row r="74" spans="1:21" ht="15">
      <c r="A74" s="1"/>
      <c r="M74" s="57"/>
      <c r="N74" s="57"/>
      <c r="O74" s="57"/>
      <c r="P74" s="57"/>
      <c r="Q74" s="57"/>
      <c r="R74" s="57"/>
      <c r="S74" s="57"/>
      <c r="T74" s="57"/>
      <c r="U74" s="1"/>
    </row>
    <row r="75" spans="1:21" ht="15">
      <c r="A75" s="1"/>
      <c r="M75" s="57"/>
      <c r="N75" s="57"/>
      <c r="O75" s="57"/>
      <c r="P75" s="57"/>
      <c r="Q75" s="57"/>
      <c r="R75" s="57"/>
      <c r="S75" s="57"/>
      <c r="T75" s="57"/>
      <c r="U75" s="1"/>
    </row>
    <row r="76" spans="1:21" ht="15">
      <c r="A76" s="1"/>
      <c r="M76" s="57"/>
      <c r="N76" s="57"/>
      <c r="O76" s="57"/>
      <c r="P76" s="57"/>
      <c r="Q76" s="57"/>
      <c r="R76" s="57"/>
      <c r="S76" s="57"/>
      <c r="T76" s="57"/>
      <c r="U76" s="1"/>
    </row>
    <row r="77" spans="1:21" ht="15">
      <c r="A77" s="1"/>
      <c r="M77" s="57"/>
      <c r="N77" s="57"/>
      <c r="O77" s="57"/>
      <c r="P77" s="57"/>
      <c r="Q77" s="57"/>
      <c r="R77" s="57"/>
      <c r="S77" s="57"/>
      <c r="T77" s="57"/>
      <c r="U77" s="1"/>
    </row>
    <row r="78" spans="1:21" ht="15">
      <c r="A78" s="1"/>
      <c r="M78" s="57"/>
      <c r="N78" s="57"/>
      <c r="O78" s="57"/>
      <c r="P78" s="57"/>
      <c r="Q78" s="57"/>
      <c r="R78" s="57"/>
      <c r="S78" s="57"/>
      <c r="T78" s="57"/>
      <c r="U78" s="1"/>
    </row>
    <row r="79" spans="1:21" ht="15">
      <c r="A79" s="1"/>
      <c r="M79" s="57"/>
      <c r="N79" s="57"/>
      <c r="O79" s="57"/>
      <c r="P79" s="57"/>
      <c r="Q79" s="57"/>
      <c r="R79" s="57"/>
      <c r="S79" s="57"/>
      <c r="T79" s="57"/>
      <c r="U79" s="1"/>
    </row>
    <row r="80" spans="1:21" ht="15">
      <c r="A80" s="1"/>
      <c r="M80" s="57"/>
      <c r="N80" s="57"/>
      <c r="O80" s="57"/>
      <c r="P80" s="57"/>
      <c r="Q80" s="57"/>
      <c r="R80" s="57"/>
      <c r="S80" s="57"/>
      <c r="T80" s="57"/>
      <c r="U80" s="1"/>
    </row>
    <row r="81" spans="1:21" ht="15">
      <c r="A81" s="1"/>
      <c r="M81" s="57"/>
      <c r="N81" s="57"/>
      <c r="O81" s="57"/>
      <c r="P81" s="57"/>
      <c r="Q81" s="57"/>
      <c r="R81" s="57"/>
      <c r="S81" s="57"/>
      <c r="T81" s="57"/>
      <c r="U81" s="1"/>
    </row>
    <row r="82" spans="1:21" ht="15">
      <c r="A82" s="1"/>
      <c r="M82" s="57"/>
      <c r="N82" s="57"/>
      <c r="O82" s="57"/>
      <c r="P82" s="57"/>
      <c r="Q82" s="57"/>
      <c r="R82" s="57"/>
      <c r="S82" s="57"/>
      <c r="T82" s="57"/>
      <c r="U82" s="1"/>
    </row>
    <row r="83" spans="1:21" ht="15">
      <c r="A83" s="1"/>
      <c r="M83" s="57"/>
      <c r="N83" s="57"/>
      <c r="O83" s="57"/>
      <c r="P83" s="57"/>
      <c r="Q83" s="57"/>
      <c r="R83" s="57"/>
      <c r="S83" s="57"/>
      <c r="T83" s="57"/>
      <c r="U83" s="1"/>
    </row>
    <row r="84" spans="1:21" ht="15">
      <c r="A84" s="1"/>
      <c r="M84" s="57"/>
      <c r="N84" s="57"/>
      <c r="O84" s="57"/>
      <c r="P84" s="57"/>
      <c r="Q84" s="57"/>
      <c r="R84" s="57"/>
      <c r="S84" s="57"/>
      <c r="T84" s="57"/>
      <c r="U84" s="1"/>
    </row>
    <row r="85" spans="1:21" ht="15">
      <c r="A85" s="1"/>
      <c r="M85" s="57"/>
      <c r="N85" s="57"/>
      <c r="O85" s="57"/>
      <c r="P85" s="57"/>
      <c r="Q85" s="57"/>
      <c r="R85" s="57"/>
      <c r="S85" s="57"/>
      <c r="T85" s="57"/>
      <c r="U85" s="1"/>
    </row>
    <row r="86" spans="1:21" ht="15">
      <c r="A86" s="1"/>
      <c r="M86" s="57"/>
      <c r="N86" s="57"/>
      <c r="O86" s="57"/>
      <c r="P86" s="57"/>
      <c r="Q86" s="57"/>
      <c r="R86" s="57"/>
      <c r="S86" s="57"/>
      <c r="T86" s="57"/>
      <c r="U86" s="1"/>
    </row>
    <row r="87" spans="1:21" ht="15">
      <c r="A87" s="1"/>
      <c r="M87" s="57"/>
      <c r="N87" s="57"/>
      <c r="O87" s="57"/>
      <c r="P87" s="57"/>
      <c r="Q87" s="57"/>
      <c r="R87" s="57"/>
      <c r="S87" s="57"/>
      <c r="T87" s="57"/>
      <c r="U87" s="1"/>
    </row>
    <row r="88" spans="1:21" ht="15">
      <c r="A88" s="1"/>
      <c r="M88" s="57"/>
      <c r="N88" s="57"/>
      <c r="O88" s="57"/>
      <c r="P88" s="57"/>
      <c r="Q88" s="57"/>
      <c r="R88" s="57"/>
      <c r="S88" s="57"/>
      <c r="T88" s="57"/>
      <c r="U88" s="1"/>
    </row>
    <row r="89" spans="1:21" ht="15">
      <c r="A89" s="1"/>
      <c r="M89" s="57"/>
      <c r="N89" s="57"/>
      <c r="O89" s="57"/>
      <c r="P89" s="57"/>
      <c r="Q89" s="57"/>
      <c r="R89" s="57"/>
      <c r="S89" s="57"/>
      <c r="T89" s="57"/>
      <c r="U89" s="1"/>
    </row>
    <row r="90" spans="1:21" ht="15">
      <c r="A90" s="1"/>
      <c r="M90" s="57"/>
      <c r="N90" s="57"/>
      <c r="O90" s="57"/>
      <c r="P90" s="57"/>
      <c r="Q90" s="57"/>
      <c r="R90" s="57"/>
      <c r="S90" s="57"/>
      <c r="T90" s="57"/>
      <c r="U90" s="1"/>
    </row>
    <row r="91" spans="1:21" ht="15">
      <c r="A91" s="1"/>
      <c r="M91" s="57"/>
      <c r="N91" s="57"/>
      <c r="O91" s="57"/>
      <c r="P91" s="57"/>
      <c r="Q91" s="57"/>
      <c r="R91" s="57"/>
      <c r="S91" s="57"/>
      <c r="T91" s="57"/>
      <c r="U91" s="1"/>
    </row>
    <row r="92" spans="1:21" ht="15">
      <c r="A92" s="1"/>
      <c r="M92" s="57"/>
      <c r="N92" s="57"/>
      <c r="O92" s="57"/>
      <c r="P92" s="57"/>
      <c r="Q92" s="57"/>
      <c r="R92" s="57"/>
      <c r="S92" s="57"/>
      <c r="T92" s="57"/>
      <c r="U92" s="1"/>
    </row>
    <row r="93" spans="1:21" ht="15">
      <c r="A93" s="1"/>
      <c r="M93" s="57"/>
      <c r="N93" s="57"/>
      <c r="O93" s="57"/>
      <c r="P93" s="57"/>
      <c r="Q93" s="57"/>
      <c r="R93" s="57"/>
      <c r="S93" s="57"/>
      <c r="T93" s="57"/>
      <c r="U93" s="1"/>
    </row>
    <row r="94" spans="1:21" ht="15">
      <c r="A94" s="1"/>
      <c r="M94" s="57"/>
      <c r="N94" s="57"/>
      <c r="O94" s="57"/>
      <c r="P94" s="57"/>
      <c r="Q94" s="57"/>
      <c r="R94" s="57"/>
      <c r="S94" s="57"/>
      <c r="T94" s="57"/>
      <c r="U94" s="1"/>
    </row>
    <row r="95" spans="1:21" ht="15">
      <c r="A95" s="1"/>
      <c r="M95" s="57"/>
      <c r="N95" s="57"/>
      <c r="O95" s="57"/>
      <c r="P95" s="57"/>
      <c r="Q95" s="57"/>
      <c r="R95" s="57"/>
      <c r="S95" s="57"/>
      <c r="T95" s="57"/>
      <c r="U95" s="1"/>
    </row>
    <row r="96" spans="1:21" ht="15">
      <c r="A96" s="1"/>
      <c r="M96" s="57"/>
      <c r="N96" s="57"/>
      <c r="O96" s="57"/>
      <c r="P96" s="57"/>
      <c r="Q96" s="57"/>
      <c r="R96" s="57"/>
      <c r="S96" s="57"/>
      <c r="T96" s="57"/>
      <c r="U96" s="1"/>
    </row>
    <row r="97" spans="1:21" ht="15">
      <c r="A97" s="1"/>
      <c r="M97" s="57"/>
      <c r="N97" s="57"/>
      <c r="O97" s="57"/>
      <c r="P97" s="57"/>
      <c r="Q97" s="57"/>
      <c r="R97" s="57"/>
      <c r="S97" s="57"/>
      <c r="T97" s="57"/>
      <c r="U97" s="1"/>
    </row>
    <row r="98" spans="1:21" ht="15">
      <c r="A98" s="1"/>
      <c r="M98" s="57"/>
      <c r="N98" s="57"/>
      <c r="O98" s="57"/>
      <c r="P98" s="57"/>
      <c r="Q98" s="57"/>
      <c r="R98" s="57"/>
      <c r="S98" s="57"/>
      <c r="T98" s="57"/>
      <c r="U98" s="1"/>
    </row>
    <row r="99" spans="1:21" ht="15">
      <c r="A99" s="1"/>
      <c r="M99" s="57"/>
      <c r="N99" s="57"/>
      <c r="O99" s="57"/>
      <c r="P99" s="57"/>
      <c r="Q99" s="57"/>
      <c r="R99" s="57"/>
      <c r="S99" s="57"/>
      <c r="T99" s="57"/>
      <c r="U99" s="1"/>
    </row>
    <row r="100" spans="1:21" ht="15">
      <c r="A100" s="1"/>
      <c r="M100" s="57"/>
      <c r="N100" s="57"/>
      <c r="O100" s="57"/>
      <c r="P100" s="57"/>
      <c r="Q100" s="57"/>
      <c r="R100" s="57"/>
      <c r="S100" s="57"/>
      <c r="T100" s="57"/>
      <c r="U100" s="1"/>
    </row>
    <row r="101" spans="1:21" ht="15">
      <c r="A101" s="1"/>
      <c r="M101" s="57"/>
      <c r="N101" s="57"/>
      <c r="O101" s="57"/>
      <c r="P101" s="57"/>
      <c r="Q101" s="57"/>
      <c r="R101" s="57"/>
      <c r="S101" s="57"/>
      <c r="T101" s="57"/>
      <c r="U101" s="1"/>
    </row>
    <row r="102" spans="1:21" ht="15">
      <c r="A102" s="1"/>
      <c r="M102" s="57"/>
      <c r="N102" s="57"/>
      <c r="O102" s="57"/>
      <c r="P102" s="57"/>
      <c r="Q102" s="57"/>
      <c r="R102" s="57"/>
      <c r="S102" s="57"/>
      <c r="T102" s="57"/>
      <c r="U102" s="1"/>
    </row>
    <row r="103" spans="1:21" ht="15">
      <c r="A103" s="1"/>
      <c r="M103" s="57"/>
      <c r="N103" s="57"/>
      <c r="O103" s="57"/>
      <c r="P103" s="57"/>
      <c r="Q103" s="57"/>
      <c r="R103" s="57"/>
      <c r="S103" s="57"/>
      <c r="T103" s="57"/>
      <c r="U103" s="1"/>
    </row>
    <row r="104" spans="1:21" ht="15">
      <c r="A104" s="1"/>
      <c r="M104" s="57"/>
      <c r="N104" s="57"/>
      <c r="O104" s="57"/>
      <c r="P104" s="57"/>
      <c r="Q104" s="57"/>
      <c r="R104" s="57"/>
      <c r="S104" s="57"/>
      <c r="T104" s="57"/>
      <c r="U104" s="1"/>
    </row>
    <row r="105" spans="1:21" ht="15">
      <c r="A105" s="1"/>
      <c r="M105" s="57"/>
      <c r="N105" s="57"/>
      <c r="O105" s="57"/>
      <c r="P105" s="57"/>
      <c r="Q105" s="57"/>
      <c r="R105" s="57"/>
      <c r="S105" s="57"/>
      <c r="T105" s="57"/>
      <c r="U105" s="1"/>
    </row>
    <row r="106" spans="1:21" ht="15">
      <c r="A106" s="1"/>
      <c r="M106" s="57"/>
      <c r="N106" s="57"/>
      <c r="O106" s="57"/>
      <c r="P106" s="57"/>
      <c r="Q106" s="57"/>
      <c r="R106" s="57"/>
      <c r="S106" s="57"/>
      <c r="T106" s="57"/>
      <c r="U106" s="1"/>
    </row>
    <row r="107" spans="1:21" ht="15">
      <c r="A107" s="1"/>
      <c r="M107" s="57"/>
      <c r="N107" s="57"/>
      <c r="O107" s="57"/>
      <c r="P107" s="57"/>
      <c r="Q107" s="57"/>
      <c r="R107" s="57"/>
      <c r="S107" s="57"/>
      <c r="T107" s="57"/>
      <c r="U107" s="1"/>
    </row>
    <row r="108" spans="1:21" ht="15">
      <c r="A108" s="1"/>
      <c r="M108" s="57"/>
      <c r="N108" s="57"/>
      <c r="O108" s="57"/>
      <c r="P108" s="57"/>
      <c r="Q108" s="57"/>
      <c r="R108" s="57"/>
      <c r="S108" s="57"/>
      <c r="T108" s="57"/>
      <c r="U108" s="1"/>
    </row>
    <row r="109" spans="1:21" ht="15">
      <c r="A109" s="1"/>
      <c r="M109" s="57"/>
      <c r="N109" s="57"/>
      <c r="O109" s="57"/>
      <c r="P109" s="57"/>
      <c r="Q109" s="57"/>
      <c r="R109" s="57"/>
      <c r="S109" s="57"/>
      <c r="T109" s="57"/>
      <c r="U109" s="1"/>
    </row>
    <row r="110" spans="1:21" ht="15">
      <c r="A110" s="1"/>
      <c r="M110" s="57"/>
      <c r="N110" s="57"/>
      <c r="O110" s="57"/>
      <c r="P110" s="57"/>
      <c r="Q110" s="57"/>
      <c r="R110" s="57"/>
      <c r="S110" s="57"/>
      <c r="T110" s="57"/>
      <c r="U110" s="1"/>
    </row>
    <row r="111" spans="1:21" ht="15">
      <c r="A111" s="1"/>
      <c r="M111" s="57"/>
      <c r="N111" s="57"/>
      <c r="O111" s="57"/>
      <c r="P111" s="57"/>
      <c r="Q111" s="57"/>
      <c r="R111" s="57"/>
      <c r="S111" s="57"/>
      <c r="T111" s="57"/>
      <c r="U111" s="1"/>
    </row>
    <row r="112" spans="1:21" ht="15">
      <c r="A112" s="1"/>
      <c r="M112" s="57"/>
      <c r="N112" s="57"/>
      <c r="O112" s="57"/>
      <c r="P112" s="57"/>
      <c r="Q112" s="57"/>
      <c r="R112" s="57"/>
      <c r="S112" s="57"/>
      <c r="T112" s="57"/>
      <c r="U112" s="1"/>
    </row>
    <row r="113" spans="1:21" ht="15">
      <c r="A113" s="1"/>
      <c r="M113" s="57"/>
      <c r="N113" s="57"/>
      <c r="O113" s="57"/>
      <c r="P113" s="57"/>
      <c r="Q113" s="57"/>
      <c r="R113" s="57"/>
      <c r="S113" s="57"/>
      <c r="T113" s="57"/>
      <c r="U113" s="1"/>
    </row>
    <row r="114" spans="1:21" ht="15">
      <c r="A114" s="1"/>
      <c r="M114" s="57"/>
      <c r="N114" s="57"/>
      <c r="O114" s="57"/>
      <c r="P114" s="57"/>
      <c r="Q114" s="57"/>
      <c r="R114" s="57"/>
      <c r="S114" s="57"/>
      <c r="T114" s="57"/>
      <c r="U114" s="1"/>
    </row>
    <row r="115" spans="1:21" ht="15">
      <c r="A115" s="1"/>
      <c r="M115" s="57"/>
      <c r="N115" s="57"/>
      <c r="O115" s="57"/>
      <c r="P115" s="57"/>
      <c r="Q115" s="57"/>
      <c r="R115" s="57"/>
      <c r="S115" s="57"/>
      <c r="T115" s="57"/>
      <c r="U115" s="1"/>
    </row>
    <row r="116" spans="1:21" ht="15">
      <c r="A116" s="1"/>
      <c r="M116" s="57"/>
      <c r="N116" s="57"/>
      <c r="O116" s="57"/>
      <c r="P116" s="57"/>
      <c r="Q116" s="57"/>
      <c r="R116" s="57"/>
      <c r="S116" s="57"/>
      <c r="T116" s="57"/>
      <c r="U116" s="1"/>
    </row>
    <row r="117" spans="1:21" ht="15">
      <c r="A117" s="1"/>
      <c r="M117" s="57"/>
      <c r="N117" s="57"/>
      <c r="O117" s="57"/>
      <c r="P117" s="57"/>
      <c r="Q117" s="57"/>
      <c r="R117" s="57"/>
      <c r="S117" s="57"/>
      <c r="T117" s="57"/>
      <c r="U117" s="1"/>
    </row>
    <row r="118" spans="1:21" ht="15">
      <c r="A118" s="1"/>
      <c r="M118" s="57"/>
      <c r="N118" s="57"/>
      <c r="O118" s="57"/>
      <c r="P118" s="57"/>
      <c r="Q118" s="57"/>
      <c r="R118" s="57"/>
      <c r="S118" s="57"/>
      <c r="T118" s="57"/>
      <c r="U118" s="1"/>
    </row>
    <row r="119" spans="1:21" ht="15">
      <c r="A119" s="1"/>
      <c r="M119" s="57"/>
      <c r="N119" s="57"/>
      <c r="O119" s="57"/>
      <c r="P119" s="57"/>
      <c r="Q119" s="57"/>
      <c r="R119" s="57"/>
      <c r="S119" s="57"/>
      <c r="T119" s="57"/>
      <c r="U119" s="1"/>
    </row>
    <row r="120" spans="1:21" ht="15">
      <c r="A120" s="1"/>
      <c r="M120" s="57"/>
      <c r="N120" s="57"/>
      <c r="O120" s="57"/>
      <c r="P120" s="57"/>
      <c r="Q120" s="57"/>
      <c r="R120" s="57"/>
      <c r="S120" s="57"/>
      <c r="T120" s="57"/>
      <c r="U120" s="1"/>
    </row>
    <row r="121" spans="1:21" ht="15">
      <c r="A121" s="1"/>
      <c r="M121" s="57"/>
      <c r="N121" s="57"/>
      <c r="O121" s="57"/>
      <c r="P121" s="57"/>
      <c r="Q121" s="57"/>
      <c r="R121" s="57"/>
      <c r="S121" s="57"/>
      <c r="T121" s="57"/>
      <c r="U121" s="1"/>
    </row>
    <row r="122" spans="1:21" ht="15">
      <c r="A122" s="1"/>
      <c r="M122" s="57"/>
      <c r="N122" s="57"/>
      <c r="O122" s="57"/>
      <c r="P122" s="57"/>
      <c r="Q122" s="57"/>
      <c r="R122" s="57"/>
      <c r="S122" s="57"/>
      <c r="T122" s="57"/>
      <c r="U122" s="1"/>
    </row>
    <row r="123" spans="1:21" ht="15">
      <c r="A123" s="1"/>
      <c r="M123" s="57"/>
      <c r="N123" s="57"/>
      <c r="O123" s="57"/>
      <c r="P123" s="57"/>
      <c r="Q123" s="57"/>
      <c r="R123" s="57"/>
      <c r="S123" s="57"/>
      <c r="T123" s="57"/>
      <c r="U123" s="1"/>
    </row>
    <row r="124" spans="1:21" ht="15">
      <c r="A124" s="1"/>
      <c r="M124" s="57"/>
      <c r="N124" s="57"/>
      <c r="O124" s="57"/>
      <c r="P124" s="57"/>
      <c r="Q124" s="57"/>
      <c r="R124" s="57"/>
      <c r="S124" s="57"/>
      <c r="T124" s="57"/>
      <c r="U124" s="1"/>
    </row>
    <row r="125" spans="1:21" ht="15">
      <c r="A125" s="1"/>
      <c r="M125" s="57"/>
      <c r="N125" s="57"/>
      <c r="O125" s="57"/>
      <c r="P125" s="57"/>
      <c r="Q125" s="57"/>
      <c r="R125" s="57"/>
      <c r="S125" s="57"/>
      <c r="T125" s="57"/>
      <c r="U125" s="1"/>
    </row>
  </sheetData>
  <hyperlinks>
    <hyperlink ref="D45" r:id="rId1" display="javascript:void(0);"/>
    <hyperlink ref="D46" r:id="rId2" display="javascript:void(0);"/>
    <hyperlink ref="D47" r:id="rId3" display="javascript:void(0);"/>
    <hyperlink ref="D48" r:id="rId4" display="javascript:void(0);"/>
    <hyperlink ref="D49" r:id="rId5" display="javascript:void(0);"/>
    <hyperlink ref="D50" r:id="rId6" display="javascript:void(0);"/>
    <hyperlink ref="D51" r:id="rId7" display="javascript:void(0);"/>
    <hyperlink ref="D52" r:id="rId8" display="javascript:void(0);"/>
    <hyperlink ref="D53" r:id="rId9" display="javascript:void(0);"/>
    <hyperlink ref="D54" r:id="rId10" display="javascript:void(0);"/>
    <hyperlink ref="D55" r:id="rId11" display="javascript:void(0);"/>
    <hyperlink ref="D56" r:id="rId12" display="javascript:void(0);"/>
    <hyperlink ref="D57" r:id="rId13" display="javascript:void(0);"/>
    <hyperlink ref="D58" r:id="rId14" display="javascript:void(0);"/>
  </hyperlinks>
  <pageMargins left="0.7" right="0.7" top="0.75" bottom="0.75" header="0.3" footer="0.3"/>
  <drawing r:id="rId1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S123"/>
  <sheetViews>
    <sheetView showGridLines="0" topLeftCell="H1" workbookViewId="0">
      <selection activeCell="X15" sqref="X15"/>
    </sheetView>
  </sheetViews>
  <sheetFormatPr defaultColWidth="0" defaultRowHeight="0" customHeight="1" zeroHeight="1"/>
  <cols>
    <col min="1" max="3" width="3.7109375" customWidth="1"/>
    <col min="4" max="4" width="40.7109375" customWidth="1"/>
    <col min="5" max="8" width="10.7109375" customWidth="1"/>
    <col min="9" max="9" width="10.7109375" style="75" customWidth="1"/>
    <col min="10" max="13" width="10.7109375" customWidth="1"/>
    <col min="14" max="14" width="10.7109375" style="75" customWidth="1"/>
    <col min="15" max="18" width="10.7109375" customWidth="1"/>
    <col min="19" max="19" width="10.7109375" style="75" customWidth="1"/>
    <col min="20" max="23" width="10.7109375" customWidth="1"/>
    <col min="24" max="24" width="10.7109375" style="75" customWidth="1"/>
    <col min="25" max="25" width="3.7109375" customWidth="1"/>
    <col min="26" max="45" width="0" hidden="1" customWidth="1"/>
    <col min="46" max="16384" width="9.140625" hidden="1"/>
  </cols>
  <sheetData>
    <row r="1" spans="1:25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1">
      <c r="A2" s="1"/>
      <c r="B2" s="5" t="str">
        <f>Company_Name</f>
        <v>BorgWarner Inc. (BWA)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"/>
    </row>
    <row r="3" spans="1:25" ht="15.75" thickBot="1">
      <c r="A3" s="1"/>
      <c r="B3" s="2"/>
      <c r="C3" s="2"/>
      <c r="D3" s="2"/>
      <c r="E3" s="2"/>
      <c r="F3" s="2"/>
      <c r="G3" s="28" t="s">
        <v>3</v>
      </c>
      <c r="H3" s="28"/>
      <c r="I3" s="28"/>
      <c r="J3" s="28"/>
      <c r="K3" s="28"/>
      <c r="L3" s="28"/>
      <c r="M3" s="28"/>
      <c r="N3" s="108"/>
      <c r="O3" s="2"/>
      <c r="P3" s="2"/>
      <c r="Q3" s="2"/>
      <c r="R3" s="2"/>
      <c r="S3" s="2"/>
      <c r="T3" s="2"/>
      <c r="U3" s="2"/>
      <c r="V3" s="2"/>
      <c r="W3" s="2"/>
      <c r="X3" s="2"/>
      <c r="Y3" s="1"/>
    </row>
    <row r="4" spans="1:25" ht="15">
      <c r="A4" s="1"/>
      <c r="B4" s="2" t="str">
        <f>Currency</f>
        <v>(expressed in millions)</v>
      </c>
      <c r="C4" s="2"/>
      <c r="D4" s="2"/>
      <c r="E4" s="4">
        <f t="shared" ref="E4:K4" si="0">EDATE(F4,-3)</f>
        <v>43160</v>
      </c>
      <c r="F4" s="4">
        <f t="shared" si="0"/>
        <v>43252</v>
      </c>
      <c r="G4" s="4">
        <f t="shared" si="0"/>
        <v>43344</v>
      </c>
      <c r="H4" s="4">
        <f>EDATE(J4,-3)</f>
        <v>43435</v>
      </c>
      <c r="I4" s="119">
        <v>2018</v>
      </c>
      <c r="J4" s="4">
        <f t="shared" si="0"/>
        <v>43525</v>
      </c>
      <c r="K4" s="4">
        <f t="shared" si="0"/>
        <v>43617</v>
      </c>
      <c r="L4" s="4">
        <f>EDATE(M4,-3)</f>
        <v>43709</v>
      </c>
      <c r="M4" s="4">
        <f>LHY</f>
        <v>43800</v>
      </c>
      <c r="N4" s="120">
        <v>2019</v>
      </c>
      <c r="O4" s="3">
        <f>EDATE(M4,3)</f>
        <v>43891</v>
      </c>
      <c r="P4" s="3">
        <f t="shared" ref="P4:V4" si="1">EDATE(O4,3)</f>
        <v>43983</v>
      </c>
      <c r="Q4" s="3">
        <f t="shared" si="1"/>
        <v>44075</v>
      </c>
      <c r="R4" s="3">
        <f t="shared" si="1"/>
        <v>44166</v>
      </c>
      <c r="S4" s="116">
        <v>2020</v>
      </c>
      <c r="T4" s="3">
        <f>EDATE(R4,3)</f>
        <v>44256</v>
      </c>
      <c r="U4" s="3">
        <f t="shared" si="1"/>
        <v>44348</v>
      </c>
      <c r="V4" s="3">
        <f t="shared" si="1"/>
        <v>44440</v>
      </c>
      <c r="W4" s="3">
        <f>EDATE(V4,3)</f>
        <v>44531</v>
      </c>
      <c r="X4" s="116">
        <v>2021</v>
      </c>
      <c r="Y4" s="1"/>
    </row>
    <row r="5" spans="1:25" ht="15">
      <c r="A5" s="1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36"/>
      <c r="P5" s="36"/>
      <c r="Q5" s="36"/>
      <c r="R5" s="36"/>
      <c r="S5" s="36"/>
      <c r="T5" s="36"/>
      <c r="U5" s="36"/>
      <c r="V5" s="36"/>
      <c r="W5" s="36"/>
      <c r="X5" s="36"/>
      <c r="Y5" s="1"/>
    </row>
    <row r="6" spans="1:25" ht="15">
      <c r="A6" s="1"/>
      <c r="B6" s="22"/>
      <c r="C6" s="22"/>
      <c r="D6" t="s">
        <v>7</v>
      </c>
      <c r="E6">
        <v>2784</v>
      </c>
      <c r="F6">
        <v>2694</v>
      </c>
      <c r="G6">
        <v>2478</v>
      </c>
      <c r="H6">
        <v>2574</v>
      </c>
      <c r="I6" s="75">
        <f>SUM(E6:H6)</f>
        <v>10530</v>
      </c>
      <c r="J6">
        <v>2566</v>
      </c>
      <c r="K6">
        <v>2551</v>
      </c>
      <c r="L6">
        <v>2492</v>
      </c>
      <c r="M6">
        <v>2559</v>
      </c>
      <c r="N6" s="75">
        <f>SUM(J6:M6)</f>
        <v>10168</v>
      </c>
      <c r="O6" s="61">
        <f>'REVENUE DRIVERS'!O16</f>
        <v>2415.8399999999997</v>
      </c>
      <c r="P6" s="61">
        <f>'REVENUE DRIVERS'!P16</f>
        <v>2549.09</v>
      </c>
      <c r="Q6" s="61">
        <f>'REVENUE DRIVERS'!Q16</f>
        <v>2452.08</v>
      </c>
      <c r="R6" s="61">
        <f>'REVENUE DRIVERS'!R16</f>
        <v>2598.8900000000003</v>
      </c>
      <c r="S6" s="61">
        <f>'REVENUE DRIVERS'!T16</f>
        <v>2391.6815999999999</v>
      </c>
      <c r="T6" s="61">
        <f>'REVENUE DRIVERS'!U16</f>
        <v>2523.5990999999999</v>
      </c>
      <c r="U6" s="61">
        <f>'REVENUE DRIVERS'!V16</f>
        <v>2501.1216000000004</v>
      </c>
      <c r="V6" s="61">
        <f>'REVENUE DRIVERS'!W16</f>
        <v>2650.8678</v>
      </c>
      <c r="W6" s="61">
        <f>'REVENUE DRIVERS'!Y16</f>
        <v>0</v>
      </c>
      <c r="X6" s="61">
        <f>'REVENUE DRIVERS'!Z16</f>
        <v>0</v>
      </c>
      <c r="Y6" s="1"/>
    </row>
    <row r="7" spans="1:25" ht="17.25">
      <c r="A7" s="1"/>
      <c r="B7" s="22"/>
      <c r="C7" s="22"/>
      <c r="D7" t="s">
        <v>4</v>
      </c>
      <c r="E7">
        <v>2193</v>
      </c>
      <c r="F7">
        <v>2114</v>
      </c>
      <c r="G7">
        <v>1963</v>
      </c>
      <c r="H7">
        <v>2030</v>
      </c>
      <c r="I7" s="75">
        <f>SUM(E7:H7)</f>
        <v>8300</v>
      </c>
      <c r="J7">
        <v>2047</v>
      </c>
      <c r="K7">
        <v>2038</v>
      </c>
      <c r="L7">
        <v>1968</v>
      </c>
      <c r="M7">
        <v>2014</v>
      </c>
      <c r="N7" s="75">
        <f>SUM(J7:M7)</f>
        <v>8067</v>
      </c>
      <c r="O7" s="62">
        <f>O6*Asumptions!O8</f>
        <v>1909.8204786334363</v>
      </c>
      <c r="P7" s="62">
        <f>P6*Asumptions!P8</f>
        <v>2015.9603189892828</v>
      </c>
      <c r="Q7" s="62">
        <f>Q6*Asumptions!Q8</f>
        <v>1940.914567668141</v>
      </c>
      <c r="R7" s="62">
        <f>R6*Asumptions!R8</f>
        <v>2056.9374545109376</v>
      </c>
      <c r="S7" s="62">
        <f>SUM(O7:R7)</f>
        <v>7923.6328198017973</v>
      </c>
      <c r="T7" s="62">
        <f>T6*Asumptions!T8</f>
        <v>1999.257334859537</v>
      </c>
      <c r="U7" s="62">
        <f>U6*Asumptions!U8</f>
        <v>1979.7258784378848</v>
      </c>
      <c r="V7" s="62">
        <f>V6*Asumptions!V8</f>
        <v>2095.8141033606835</v>
      </c>
      <c r="W7" s="62">
        <f>W6*Asumptions!W8</f>
        <v>0</v>
      </c>
      <c r="X7" s="62">
        <f>SUM(T7:W7)</f>
        <v>6074.797316658105</v>
      </c>
      <c r="Y7" s="1"/>
    </row>
    <row r="8" spans="1:25" s="7" customFormat="1" ht="15">
      <c r="A8" s="6"/>
      <c r="B8" s="27"/>
      <c r="C8" s="27"/>
      <c r="D8" s="29" t="s">
        <v>5</v>
      </c>
      <c r="E8" s="29">
        <f>E6-E7</f>
        <v>591</v>
      </c>
      <c r="F8" s="29">
        <f t="shared" ref="F8:V8" si="2">F6-F7</f>
        <v>580</v>
      </c>
      <c r="G8" s="29">
        <f t="shared" si="2"/>
        <v>515</v>
      </c>
      <c r="H8" s="29">
        <f t="shared" si="2"/>
        <v>544</v>
      </c>
      <c r="I8" s="29"/>
      <c r="J8" s="29">
        <f t="shared" si="2"/>
        <v>519</v>
      </c>
      <c r="K8" s="29">
        <f t="shared" si="2"/>
        <v>513</v>
      </c>
      <c r="L8" s="29">
        <f t="shared" si="2"/>
        <v>524</v>
      </c>
      <c r="M8" s="29">
        <f t="shared" si="2"/>
        <v>545</v>
      </c>
      <c r="N8" s="29"/>
      <c r="O8" s="63">
        <f t="shared" si="2"/>
        <v>506.01952136656337</v>
      </c>
      <c r="P8" s="63">
        <f t="shared" si="2"/>
        <v>533.12968101071738</v>
      </c>
      <c r="Q8" s="63">
        <f t="shared" si="2"/>
        <v>511.16543233185894</v>
      </c>
      <c r="R8" s="63">
        <f t="shared" si="2"/>
        <v>541.95254548906269</v>
      </c>
      <c r="S8" s="63"/>
      <c r="T8" s="63">
        <f t="shared" si="2"/>
        <v>524.34176514046294</v>
      </c>
      <c r="U8" s="63">
        <f t="shared" si="2"/>
        <v>521.39572156211557</v>
      </c>
      <c r="V8" s="63">
        <f t="shared" si="2"/>
        <v>555.05369663931651</v>
      </c>
      <c r="W8" s="63">
        <f>W6-W7</f>
        <v>0</v>
      </c>
      <c r="X8" s="65"/>
      <c r="Y8" s="6"/>
    </row>
    <row r="9" spans="1:25" s="7" customFormat="1" ht="15">
      <c r="A9" s="6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65"/>
      <c r="P9" s="65"/>
      <c r="Q9" s="65"/>
      <c r="R9" s="65"/>
      <c r="S9" s="65"/>
      <c r="T9" s="65"/>
      <c r="U9" s="65"/>
      <c r="V9" s="65"/>
      <c r="W9" s="65"/>
      <c r="X9" s="65"/>
      <c r="Y9" s="6"/>
    </row>
    <row r="10" spans="1:25" ht="15">
      <c r="A10" s="1"/>
      <c r="B10" s="22"/>
      <c r="C10" s="22"/>
      <c r="D10" t="s">
        <v>8</v>
      </c>
      <c r="E10">
        <v>253</v>
      </c>
      <c r="F10">
        <v>237</v>
      </c>
      <c r="G10">
        <v>230</v>
      </c>
      <c r="H10">
        <v>226</v>
      </c>
      <c r="J10">
        <v>226</v>
      </c>
      <c r="K10">
        <v>212</v>
      </c>
      <c r="L10">
        <v>230</v>
      </c>
      <c r="M10">
        <v>205</v>
      </c>
      <c r="O10" s="64">
        <f>O6*Asumptions!O10</f>
        <v>217.42559999999997</v>
      </c>
      <c r="P10" s="64">
        <f>P6*Asumptions!P10</f>
        <v>229.41810000000001</v>
      </c>
      <c r="Q10" s="64">
        <f>Q6*Asumptions!Q10</f>
        <v>220.68719999999999</v>
      </c>
      <c r="R10" s="64">
        <f>R6*Asumptions!R10</f>
        <v>233.90010000000001</v>
      </c>
      <c r="S10" s="64"/>
      <c r="T10" s="64">
        <f>T6*Asumptions!T10</f>
        <v>227.12391899999997</v>
      </c>
      <c r="U10" s="64">
        <f>U6*Asumptions!U10</f>
        <v>225.10094400000003</v>
      </c>
      <c r="V10" s="64">
        <f>V6*Asumptions!V10</f>
        <v>238.578102</v>
      </c>
      <c r="W10" s="64">
        <f>W6*Asumptions!W10</f>
        <v>0</v>
      </c>
      <c r="X10" s="64"/>
      <c r="Y10" s="1"/>
    </row>
    <row r="11" spans="1:25" s="7" customFormat="1" ht="15">
      <c r="A11" s="6"/>
      <c r="B11" s="27"/>
      <c r="C11" s="27"/>
      <c r="D11" s="30" t="s">
        <v>20</v>
      </c>
      <c r="E11" s="7">
        <f t="shared" ref="E11" si="3">E8-E10</f>
        <v>338</v>
      </c>
      <c r="F11" s="7">
        <f t="shared" ref="F11" si="4">F8-F10</f>
        <v>343</v>
      </c>
      <c r="G11" s="7">
        <f t="shared" ref="G11" si="5">G8-G10</f>
        <v>285</v>
      </c>
      <c r="H11" s="7">
        <f t="shared" ref="H11" si="6">H8-H10</f>
        <v>318</v>
      </c>
      <c r="J11" s="7">
        <f t="shared" ref="J11" si="7">J8-J10</f>
        <v>293</v>
      </c>
      <c r="K11" s="7">
        <f t="shared" ref="K11" si="8">K8-K10</f>
        <v>301</v>
      </c>
      <c r="L11" s="7">
        <f t="shared" ref="L11" si="9">L8-L10</f>
        <v>294</v>
      </c>
      <c r="M11" s="7">
        <f t="shared" ref="M11" si="10">M8-M10</f>
        <v>340</v>
      </c>
      <c r="O11" s="59">
        <f t="shared" ref="O11" si="11">O8-O10</f>
        <v>288.59392136656339</v>
      </c>
      <c r="P11" s="59">
        <f t="shared" ref="P11" si="12">P8-P10</f>
        <v>303.7115810107174</v>
      </c>
      <c r="Q11" s="59">
        <f t="shared" ref="Q11" si="13">Q8-Q10</f>
        <v>290.47823233185898</v>
      </c>
      <c r="R11" s="59">
        <f t="shared" ref="R11" si="14">R8-R10</f>
        <v>308.05244548906268</v>
      </c>
      <c r="S11" s="59"/>
      <c r="T11" s="59">
        <f t="shared" ref="T11" si="15">T8-T10</f>
        <v>297.21784614046294</v>
      </c>
      <c r="U11" s="59">
        <f t="shared" ref="U11" si="16">U8-U10</f>
        <v>296.29477756211554</v>
      </c>
      <c r="V11" s="59">
        <f t="shared" ref="V11" si="17">V8-V10</f>
        <v>316.47559463931651</v>
      </c>
      <c r="W11" s="59">
        <f t="shared" ref="W11" si="18">W8-W10</f>
        <v>0</v>
      </c>
      <c r="X11" s="59"/>
      <c r="Y11" s="6"/>
    </row>
    <row r="12" spans="1:25" s="7" customFormat="1" ht="15">
      <c r="A12" s="6"/>
      <c r="B12" s="27"/>
      <c r="C12" s="27"/>
      <c r="D12" s="109" t="s">
        <v>11</v>
      </c>
      <c r="E12">
        <v>-2</v>
      </c>
      <c r="F12">
        <v>-1</v>
      </c>
      <c r="G12">
        <v>-1</v>
      </c>
      <c r="H12">
        <v>-2</v>
      </c>
      <c r="I12" s="75"/>
      <c r="J12">
        <v>-3</v>
      </c>
      <c r="K12">
        <v>-2</v>
      </c>
      <c r="L12">
        <v>-4</v>
      </c>
      <c r="M12">
        <v>-3</v>
      </c>
      <c r="N12" s="75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6"/>
    </row>
    <row r="13" spans="1:25" s="7" customFormat="1" ht="15">
      <c r="A13" s="6"/>
      <c r="B13" s="27"/>
      <c r="C13" s="27"/>
      <c r="D13" t="s">
        <v>12</v>
      </c>
      <c r="E13">
        <v>16</v>
      </c>
      <c r="F13">
        <v>15</v>
      </c>
      <c r="G13">
        <v>14</v>
      </c>
      <c r="H13">
        <v>14</v>
      </c>
      <c r="I13" s="75"/>
      <c r="J13">
        <v>14</v>
      </c>
      <c r="K13">
        <v>14</v>
      </c>
      <c r="L13">
        <v>15</v>
      </c>
      <c r="M13">
        <v>12</v>
      </c>
      <c r="N13" s="75"/>
      <c r="O13" s="59">
        <f>$S$13/4</f>
        <v>17.0844375</v>
      </c>
      <c r="P13" s="59">
        <f t="shared" ref="P13:R13" si="19">$S$13/4</f>
        <v>17.0844375</v>
      </c>
      <c r="Q13" s="59">
        <f t="shared" si="19"/>
        <v>17.0844375</v>
      </c>
      <c r="R13" s="59">
        <f t="shared" si="19"/>
        <v>17.0844375</v>
      </c>
      <c r="S13" s="59">
        <f>DRS!H79</f>
        <v>68.33775</v>
      </c>
      <c r="T13" s="59">
        <f>$X$13/4</f>
        <v>17.039437499999998</v>
      </c>
      <c r="U13" s="59">
        <f t="shared" ref="U13:W13" si="20">$X$13/4</f>
        <v>17.039437499999998</v>
      </c>
      <c r="V13" s="59">
        <f t="shared" si="20"/>
        <v>17.039437499999998</v>
      </c>
      <c r="W13" s="59">
        <f t="shared" si="20"/>
        <v>17.039437499999998</v>
      </c>
      <c r="X13" s="59">
        <f>DRS!I79</f>
        <v>68.157749999999993</v>
      </c>
      <c r="Y13" s="6"/>
    </row>
    <row r="14" spans="1:25" ht="15">
      <c r="A14" s="1"/>
      <c r="B14" s="22"/>
      <c r="C14" s="22"/>
      <c r="D14" t="s">
        <v>9</v>
      </c>
      <c r="E14">
        <v>5</v>
      </c>
      <c r="F14">
        <v>30</v>
      </c>
      <c r="G14">
        <v>7</v>
      </c>
      <c r="H14">
        <v>52</v>
      </c>
      <c r="J14">
        <v>29</v>
      </c>
      <c r="K14">
        <v>16</v>
      </c>
      <c r="L14">
        <v>18</v>
      </c>
      <c r="M14">
        <v>-138</v>
      </c>
      <c r="O14" s="111">
        <f>Asumptions!O15</f>
        <v>17</v>
      </c>
      <c r="P14" s="111">
        <f>Asumptions!P15</f>
        <v>23</v>
      </c>
      <c r="Q14" s="111">
        <f>Asumptions!Q15</f>
        <v>12.5</v>
      </c>
      <c r="R14" s="111">
        <f>Asumptions!R15</f>
        <v>17.5</v>
      </c>
      <c r="S14" s="111"/>
      <c r="T14" s="111">
        <f>Asumptions!T15</f>
        <v>23</v>
      </c>
      <c r="U14" s="111">
        <f>Asumptions!U15</f>
        <v>19.5</v>
      </c>
      <c r="V14" s="111">
        <f>Asumptions!V15</f>
        <v>15.25</v>
      </c>
      <c r="W14" s="111">
        <f>Asumptions!W15</f>
        <v>19.25</v>
      </c>
      <c r="X14" s="111"/>
      <c r="Y14" s="1"/>
    </row>
    <row r="15" spans="1:25" ht="15">
      <c r="A15" s="1"/>
      <c r="B15" s="22"/>
      <c r="C15" s="22"/>
      <c r="D15" t="s">
        <v>13</v>
      </c>
      <c r="E15">
        <v>-3</v>
      </c>
      <c r="F15">
        <v>-2</v>
      </c>
      <c r="G15">
        <v>-3</v>
      </c>
      <c r="H15">
        <v>-2</v>
      </c>
      <c r="J15" t="s">
        <v>14</v>
      </c>
      <c r="K15">
        <v>27</v>
      </c>
      <c r="L15">
        <v>-1</v>
      </c>
      <c r="M15">
        <v>1</v>
      </c>
      <c r="O15" s="111">
        <v>1</v>
      </c>
      <c r="P15" s="111">
        <v>1</v>
      </c>
      <c r="Q15" s="111">
        <v>1</v>
      </c>
      <c r="R15" s="111">
        <v>1</v>
      </c>
      <c r="S15" s="111"/>
      <c r="T15" s="111">
        <v>1</v>
      </c>
      <c r="U15" s="111">
        <v>1</v>
      </c>
      <c r="V15" s="111">
        <v>1</v>
      </c>
      <c r="W15" s="111">
        <v>1</v>
      </c>
      <c r="X15" s="111"/>
      <c r="Y15" s="1"/>
    </row>
    <row r="16" spans="1:25" s="7" customFormat="1" ht="15">
      <c r="A16" s="6"/>
      <c r="B16" s="27"/>
      <c r="C16" s="27"/>
      <c r="D16" s="31" t="s">
        <v>21</v>
      </c>
      <c r="E16" s="7">
        <f>SUM(E12:E15)</f>
        <v>16</v>
      </c>
      <c r="F16" s="7">
        <f t="shared" ref="F16:V16" si="21">SUM(F12:F15)</f>
        <v>42</v>
      </c>
      <c r="G16" s="7">
        <f t="shared" si="21"/>
        <v>17</v>
      </c>
      <c r="H16" s="7">
        <f t="shared" si="21"/>
        <v>62</v>
      </c>
      <c r="J16" s="7">
        <f t="shared" si="21"/>
        <v>40</v>
      </c>
      <c r="K16" s="7">
        <f t="shared" si="21"/>
        <v>55</v>
      </c>
      <c r="L16" s="7">
        <f t="shared" si="21"/>
        <v>28</v>
      </c>
      <c r="M16" s="7">
        <f t="shared" si="21"/>
        <v>-128</v>
      </c>
      <c r="O16" s="59">
        <f t="shared" si="21"/>
        <v>35.0844375</v>
      </c>
      <c r="P16" s="59">
        <f t="shared" si="21"/>
        <v>41.0844375</v>
      </c>
      <c r="Q16" s="59">
        <f t="shared" si="21"/>
        <v>30.5844375</v>
      </c>
      <c r="R16" s="59">
        <f t="shared" si="21"/>
        <v>35.5844375</v>
      </c>
      <c r="S16" s="59"/>
      <c r="T16" s="59">
        <f t="shared" si="21"/>
        <v>41.039437499999998</v>
      </c>
      <c r="U16" s="59">
        <f t="shared" si="21"/>
        <v>37.539437499999998</v>
      </c>
      <c r="V16" s="59">
        <f t="shared" si="21"/>
        <v>33.289437499999998</v>
      </c>
      <c r="W16" s="59">
        <f>SUM(W12:W15)</f>
        <v>37.289437499999998</v>
      </c>
      <c r="X16" s="59"/>
      <c r="Y16" s="6"/>
    </row>
    <row r="17" spans="1:25" ht="15">
      <c r="A17" s="1"/>
      <c r="B17" s="22"/>
      <c r="C17" s="22"/>
      <c r="D17" s="32" t="s">
        <v>22</v>
      </c>
      <c r="E17" s="29">
        <f>E11-E16</f>
        <v>322</v>
      </c>
      <c r="F17" s="29">
        <f t="shared" ref="F17:V17" si="22">F11-F16</f>
        <v>301</v>
      </c>
      <c r="G17" s="29">
        <f t="shared" si="22"/>
        <v>268</v>
      </c>
      <c r="H17" s="29">
        <f t="shared" si="22"/>
        <v>256</v>
      </c>
      <c r="I17" s="29"/>
      <c r="J17" s="29">
        <f t="shared" si="22"/>
        <v>253</v>
      </c>
      <c r="K17" s="29">
        <f t="shared" si="22"/>
        <v>246</v>
      </c>
      <c r="L17" s="29">
        <f t="shared" si="22"/>
        <v>266</v>
      </c>
      <c r="M17" s="29">
        <f t="shared" si="22"/>
        <v>468</v>
      </c>
      <c r="N17" s="29"/>
      <c r="O17" s="63">
        <f t="shared" si="22"/>
        <v>253.50948386656339</v>
      </c>
      <c r="P17" s="63">
        <f t="shared" si="22"/>
        <v>262.62714351071742</v>
      </c>
      <c r="Q17" s="63">
        <f t="shared" si="22"/>
        <v>259.893794831859</v>
      </c>
      <c r="R17" s="63">
        <f t="shared" si="22"/>
        <v>272.4680079890627</v>
      </c>
      <c r="S17" s="63"/>
      <c r="T17" s="63">
        <f t="shared" si="22"/>
        <v>256.17840864046292</v>
      </c>
      <c r="U17" s="63">
        <f t="shared" si="22"/>
        <v>258.75534006211552</v>
      </c>
      <c r="V17" s="63">
        <f t="shared" si="22"/>
        <v>283.18615713931649</v>
      </c>
      <c r="W17" s="63">
        <f>W11-W16</f>
        <v>-37.289437499999998</v>
      </c>
      <c r="X17" s="65"/>
      <c r="Y17" s="1"/>
    </row>
    <row r="18" spans="1:25" ht="15">
      <c r="A18" s="1"/>
      <c r="B18" s="22"/>
      <c r="C18" s="22"/>
      <c r="D18" t="s">
        <v>15</v>
      </c>
      <c r="E18">
        <v>95</v>
      </c>
      <c r="F18">
        <v>30</v>
      </c>
      <c r="G18">
        <v>67</v>
      </c>
      <c r="H18">
        <v>19</v>
      </c>
      <c r="J18">
        <v>91</v>
      </c>
      <c r="K18">
        <v>73</v>
      </c>
      <c r="L18">
        <v>66</v>
      </c>
      <c r="M18">
        <v>238</v>
      </c>
      <c r="O18" s="59">
        <f>O17*Asumptions!O19</f>
        <v>53.236991611978311</v>
      </c>
      <c r="P18" s="59">
        <f>P17*Asumptions!P19</f>
        <v>55.151700137250657</v>
      </c>
      <c r="Q18" s="59">
        <f>Q17*Asumptions!Q19</f>
        <v>54.577696914690385</v>
      </c>
      <c r="R18" s="59">
        <f>R17*Asumptions!R19</f>
        <v>57.218281677703168</v>
      </c>
      <c r="S18" s="59"/>
      <c r="T18" s="59">
        <f>T17*Asumptions!T19</f>
        <v>53.797465814497208</v>
      </c>
      <c r="U18" s="59">
        <f>U17*Asumptions!U19</f>
        <v>54.338621413044258</v>
      </c>
      <c r="V18" s="59">
        <f>V17*Asumptions!V19</f>
        <v>59.469092999256461</v>
      </c>
      <c r="W18" s="59">
        <f>W17*Asumptions!W19</f>
        <v>-7.8307818749999996</v>
      </c>
      <c r="X18" s="59"/>
      <c r="Y18" s="1"/>
    </row>
    <row r="19" spans="1:25" ht="15">
      <c r="A19" s="1"/>
      <c r="B19" s="22"/>
      <c r="C19" s="22"/>
      <c r="D19" t="s">
        <v>10</v>
      </c>
      <c r="E19">
        <v>-10</v>
      </c>
      <c r="F19">
        <v>-13</v>
      </c>
      <c r="G19">
        <v>-15</v>
      </c>
      <c r="H19">
        <v>-11</v>
      </c>
      <c r="J19">
        <v>-9</v>
      </c>
      <c r="K19">
        <v>-9</v>
      </c>
      <c r="L19">
        <v>-7</v>
      </c>
      <c r="M19">
        <v>-7</v>
      </c>
      <c r="O19" s="59">
        <f>Asumptions!O21</f>
        <v>-7</v>
      </c>
      <c r="P19" s="59">
        <f>Asumptions!P21</f>
        <v>-7</v>
      </c>
      <c r="Q19" s="59">
        <f>Asumptions!Q21</f>
        <v>-7</v>
      </c>
      <c r="R19" s="59">
        <f>Asumptions!R21</f>
        <v>-7</v>
      </c>
      <c r="S19" s="59"/>
      <c r="T19" s="59">
        <f>Asumptions!T21</f>
        <v>-7</v>
      </c>
      <c r="U19" s="59">
        <f>Asumptions!U21</f>
        <v>-7</v>
      </c>
      <c r="V19" s="59">
        <f>Asumptions!V21</f>
        <v>-7</v>
      </c>
      <c r="W19" s="59">
        <f>Asumptions!W21</f>
        <v>-7</v>
      </c>
      <c r="X19" s="59"/>
      <c r="Y19" s="1"/>
    </row>
    <row r="20" spans="1:25" ht="15">
      <c r="A20" s="1"/>
      <c r="B20" s="22"/>
      <c r="C20" s="22"/>
      <c r="D20" s="33" t="s">
        <v>23</v>
      </c>
      <c r="E20" s="29">
        <f>E17-E18-E19</f>
        <v>237</v>
      </c>
      <c r="F20" s="29">
        <f t="shared" ref="F20:V20" si="23">F17-F18-F19</f>
        <v>284</v>
      </c>
      <c r="G20" s="29">
        <f t="shared" si="23"/>
        <v>216</v>
      </c>
      <c r="H20" s="29">
        <f t="shared" si="23"/>
        <v>248</v>
      </c>
      <c r="I20" s="29">
        <f>SUM(E20:H20)</f>
        <v>985</v>
      </c>
      <c r="J20" s="29">
        <f t="shared" si="23"/>
        <v>171</v>
      </c>
      <c r="K20" s="29">
        <f t="shared" si="23"/>
        <v>182</v>
      </c>
      <c r="L20" s="29">
        <f t="shared" si="23"/>
        <v>207</v>
      </c>
      <c r="M20" s="29">
        <f t="shared" si="23"/>
        <v>237</v>
      </c>
      <c r="N20" s="29">
        <f>SUM(J20:M20)</f>
        <v>797</v>
      </c>
      <c r="O20" s="63">
        <f t="shared" si="23"/>
        <v>207.27249225458507</v>
      </c>
      <c r="P20" s="63">
        <f t="shared" si="23"/>
        <v>214.47544337346676</v>
      </c>
      <c r="Q20" s="63">
        <f t="shared" si="23"/>
        <v>212.31609791716861</v>
      </c>
      <c r="R20" s="63">
        <f t="shared" si="23"/>
        <v>222.24972631135952</v>
      </c>
      <c r="S20" s="63">
        <f>SUM(O20:R20)</f>
        <v>856.31375985657996</v>
      </c>
      <c r="T20" s="63">
        <f t="shared" si="23"/>
        <v>209.38094282596572</v>
      </c>
      <c r="U20" s="63">
        <f t="shared" si="23"/>
        <v>211.41671864907127</v>
      </c>
      <c r="V20" s="63">
        <f t="shared" si="23"/>
        <v>230.71706414006002</v>
      </c>
      <c r="W20" s="63">
        <f>W17-W18-W19</f>
        <v>-22.458655624999999</v>
      </c>
      <c r="X20" s="63">
        <f>SUM(T20:W20)</f>
        <v>629.05606999009694</v>
      </c>
      <c r="Y20" s="1"/>
    </row>
    <row r="21" spans="1:25" ht="15">
      <c r="A21" s="1"/>
      <c r="B21" s="22"/>
      <c r="C21" s="22"/>
      <c r="D21" t="s">
        <v>17</v>
      </c>
      <c r="E21">
        <v>12</v>
      </c>
      <c r="F21">
        <v>12</v>
      </c>
      <c r="G21">
        <v>12</v>
      </c>
      <c r="H21">
        <v>18</v>
      </c>
      <c r="I21" s="29">
        <f>SUM(E21:H21)</f>
        <v>54</v>
      </c>
      <c r="J21">
        <v>11</v>
      </c>
      <c r="K21">
        <v>10</v>
      </c>
      <c r="L21">
        <v>13</v>
      </c>
      <c r="M21">
        <v>17</v>
      </c>
      <c r="N21" s="29">
        <f>SUM(J21:M21)</f>
        <v>51</v>
      </c>
      <c r="O21" s="65">
        <f>O20*Asumptions!O23</f>
        <v>11.914063974808299</v>
      </c>
      <c r="P21" s="65">
        <f>P20*Asumptions!P23</f>
        <v>10.423353849136134</v>
      </c>
      <c r="Q21" s="65">
        <f>Q20*Asumptions!Q23</f>
        <v>12.5645999975136</v>
      </c>
      <c r="R21" s="65">
        <f>R20*Asumptions!R23</f>
        <v>16.036496006643457</v>
      </c>
      <c r="S21" s="65">
        <f>SUM(O21:R21)</f>
        <v>50.938513828101492</v>
      </c>
      <c r="T21" s="65">
        <f>T20*Asumptions!T23</f>
        <v>12.752103835225649</v>
      </c>
      <c r="U21" s="65">
        <f>U20*Asumptions!U23</f>
        <v>10.945502613854565</v>
      </c>
      <c r="V21" s="65">
        <f>V20*Asumptions!V23</f>
        <v>14.071511762165496</v>
      </c>
      <c r="W21" s="65">
        <f>W20*Asumptions!W23</f>
        <v>-1.6157347439484226</v>
      </c>
      <c r="X21" s="65">
        <f>SUM(T21:W21)</f>
        <v>36.153383467297289</v>
      </c>
      <c r="Y21" s="1"/>
    </row>
    <row r="22" spans="1:25" ht="15">
      <c r="A22" s="1"/>
      <c r="B22" s="22"/>
      <c r="C22" s="22"/>
      <c r="D22" s="34" t="s">
        <v>24</v>
      </c>
      <c r="E22" s="29">
        <f>E20-E21</f>
        <v>225</v>
      </c>
      <c r="F22" s="29">
        <f t="shared" ref="F22:V22" si="24">F20-F21</f>
        <v>272</v>
      </c>
      <c r="G22" s="29">
        <f t="shared" si="24"/>
        <v>204</v>
      </c>
      <c r="H22" s="29">
        <f t="shared" si="24"/>
        <v>230</v>
      </c>
      <c r="I22" s="29">
        <f>SUM(E22:H22)</f>
        <v>931</v>
      </c>
      <c r="J22" s="29">
        <f t="shared" si="24"/>
        <v>160</v>
      </c>
      <c r="K22" s="29">
        <f t="shared" si="24"/>
        <v>172</v>
      </c>
      <c r="L22" s="29">
        <f t="shared" si="24"/>
        <v>194</v>
      </c>
      <c r="M22" s="29">
        <f t="shared" si="24"/>
        <v>220</v>
      </c>
      <c r="N22" s="29">
        <f>SUM(J22:M22)</f>
        <v>746</v>
      </c>
      <c r="O22" s="63">
        <f t="shared" si="24"/>
        <v>195.35842827977677</v>
      </c>
      <c r="P22" s="63">
        <f t="shared" si="24"/>
        <v>204.05208952433063</v>
      </c>
      <c r="Q22" s="63">
        <f t="shared" si="24"/>
        <v>199.75149791965501</v>
      </c>
      <c r="R22" s="63">
        <f t="shared" si="24"/>
        <v>206.21323030471606</v>
      </c>
      <c r="S22" s="63">
        <f>SUM(O22:R22)</f>
        <v>805.37524602847839</v>
      </c>
      <c r="T22" s="63">
        <f t="shared" si="24"/>
        <v>196.62883899074006</v>
      </c>
      <c r="U22" s="63">
        <f t="shared" si="24"/>
        <v>200.47121603521671</v>
      </c>
      <c r="V22" s="63">
        <f t="shared" si="24"/>
        <v>216.64555237789452</v>
      </c>
      <c r="W22" s="63">
        <f>W20-W21</f>
        <v>-20.842920881051576</v>
      </c>
      <c r="X22" s="63">
        <f>SUM(T22:W22)</f>
        <v>592.90268652279974</v>
      </c>
      <c r="Y22" s="1"/>
    </row>
    <row r="23" spans="1:25" ht="15">
      <c r="A23" s="1"/>
      <c r="B23" s="22"/>
      <c r="C23" s="22"/>
      <c r="D23" s="35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40"/>
      <c r="P23" s="40"/>
      <c r="Q23" s="40"/>
      <c r="R23" s="40"/>
      <c r="S23" s="40"/>
      <c r="T23" s="65"/>
      <c r="U23" s="65"/>
      <c r="V23" s="65"/>
      <c r="W23" s="65"/>
      <c r="X23" s="65"/>
      <c r="Y23" s="1"/>
    </row>
    <row r="24" spans="1:25" ht="15">
      <c r="A24" s="1"/>
      <c r="B24" s="22"/>
      <c r="C24" s="22"/>
      <c r="D24" s="35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1"/>
    </row>
    <row r="25" spans="1:25" ht="15">
      <c r="A25" s="1"/>
      <c r="B25" s="22"/>
      <c r="C25" s="22"/>
      <c r="D25" t="s">
        <v>18</v>
      </c>
      <c r="E25">
        <v>1.07</v>
      </c>
      <c r="F25">
        <v>1.3</v>
      </c>
      <c r="G25">
        <v>0.98</v>
      </c>
      <c r="H25">
        <v>1.1100000000000001</v>
      </c>
      <c r="J25">
        <v>0.77</v>
      </c>
      <c r="K25">
        <v>0.84</v>
      </c>
      <c r="L25">
        <v>0.94</v>
      </c>
      <c r="M25">
        <v>1.07</v>
      </c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1"/>
    </row>
    <row r="26" spans="1:25" ht="17.25">
      <c r="A26" s="1"/>
      <c r="B26" s="22"/>
      <c r="C26" s="22"/>
      <c r="D26" t="s">
        <v>19</v>
      </c>
      <c r="E26">
        <v>1.07</v>
      </c>
      <c r="F26">
        <v>1.3</v>
      </c>
      <c r="G26">
        <v>0.98</v>
      </c>
      <c r="H26">
        <v>1.1000000000000001</v>
      </c>
      <c r="J26">
        <v>0.77</v>
      </c>
      <c r="K26">
        <v>0.83</v>
      </c>
      <c r="L26">
        <v>0.94</v>
      </c>
      <c r="M26">
        <v>1.06</v>
      </c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1"/>
    </row>
    <row r="27" spans="1:25" ht="17.25">
      <c r="A27" s="1"/>
      <c r="B27" s="22"/>
      <c r="C27" s="22"/>
      <c r="D27" s="9"/>
      <c r="E27" s="9"/>
      <c r="F27" s="9"/>
      <c r="G27" s="10"/>
      <c r="H27" s="10"/>
      <c r="I27" s="10"/>
      <c r="J27" s="10"/>
      <c r="K27" s="8"/>
      <c r="L27" s="8"/>
      <c r="M27" s="8"/>
      <c r="N27" s="8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1"/>
    </row>
    <row r="28" spans="1:25" ht="15">
      <c r="A28" s="1"/>
      <c r="B28" s="22"/>
      <c r="C28" s="22"/>
      <c r="D28" s="12"/>
      <c r="E28" s="12"/>
      <c r="F28" s="12"/>
      <c r="G28" s="13"/>
      <c r="H28" s="14"/>
      <c r="I28" s="14"/>
      <c r="J28" s="14"/>
      <c r="K28" s="14"/>
      <c r="L28" s="14"/>
      <c r="M28" s="14"/>
      <c r="N28" s="14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1"/>
    </row>
    <row r="29" spans="1:25" ht="15">
      <c r="A29" s="1"/>
      <c r="B29" s="22"/>
      <c r="C29" s="22"/>
      <c r="D29" s="12"/>
      <c r="E29" s="12"/>
      <c r="F29" s="12"/>
      <c r="G29" s="14"/>
      <c r="H29" s="14"/>
      <c r="I29" s="14"/>
      <c r="J29" s="14"/>
      <c r="K29" s="14"/>
      <c r="L29" s="14"/>
      <c r="M29" s="14"/>
      <c r="N29" s="14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1"/>
    </row>
    <row r="30" spans="1:25" ht="17.25">
      <c r="A30" s="1"/>
      <c r="B30" s="22"/>
      <c r="C30" s="22"/>
      <c r="D30" s="9"/>
      <c r="E30" s="9"/>
      <c r="F30" s="9"/>
      <c r="G30" s="10"/>
      <c r="H30" s="10"/>
      <c r="I30" s="10"/>
      <c r="J30" s="10"/>
      <c r="K30" s="8"/>
      <c r="L30" s="8"/>
      <c r="M30" s="8"/>
      <c r="N30" s="8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1"/>
    </row>
    <row r="31" spans="1:25" ht="17.25">
      <c r="A31" s="1"/>
      <c r="B31" s="22"/>
      <c r="C31" s="22"/>
      <c r="D31" s="11"/>
      <c r="E31" s="11"/>
      <c r="F31" s="11"/>
      <c r="G31" s="10"/>
      <c r="H31" s="10"/>
      <c r="I31" s="10"/>
      <c r="J31" s="10"/>
      <c r="K31" s="8"/>
      <c r="L31" s="8"/>
      <c r="M31" s="8"/>
      <c r="N31" s="8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1"/>
    </row>
    <row r="32" spans="1:25" ht="15">
      <c r="A32" s="1"/>
      <c r="B32" s="22"/>
      <c r="C32" s="22"/>
      <c r="D32" s="12"/>
      <c r="E32" s="12"/>
      <c r="F32" s="12"/>
      <c r="G32" s="13"/>
      <c r="H32" s="14"/>
      <c r="I32" s="14"/>
      <c r="J32" s="14"/>
      <c r="K32" s="14"/>
      <c r="L32" s="14"/>
      <c r="M32" s="14"/>
      <c r="N32" s="14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1"/>
    </row>
    <row r="33" spans="1:25" ht="15">
      <c r="A33" s="1"/>
      <c r="B33" s="22"/>
      <c r="C33" s="22"/>
      <c r="D33" s="12"/>
      <c r="E33" s="12"/>
      <c r="F33" s="12"/>
      <c r="G33" s="14"/>
      <c r="H33" s="14"/>
      <c r="I33" s="14"/>
      <c r="J33" s="14"/>
      <c r="K33" s="14"/>
      <c r="L33" s="14"/>
      <c r="M33" s="14"/>
      <c r="N33" s="14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1"/>
    </row>
    <row r="34" spans="1:25" ht="17.25">
      <c r="A34" s="1"/>
      <c r="B34" s="22"/>
      <c r="C34" s="22"/>
      <c r="D34" s="11"/>
      <c r="E34" s="11"/>
      <c r="F34" s="11"/>
      <c r="G34" s="10"/>
      <c r="H34" s="10"/>
      <c r="I34" s="10"/>
      <c r="J34" s="10"/>
      <c r="K34" s="8"/>
      <c r="L34" s="8"/>
      <c r="M34" s="8"/>
      <c r="N34" s="8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1"/>
    </row>
    <row r="35" spans="1:25" ht="17.25">
      <c r="A35" s="1"/>
      <c r="B35" s="22"/>
      <c r="C35" s="22"/>
      <c r="D35" s="9"/>
      <c r="E35" s="9"/>
      <c r="F35" s="9"/>
      <c r="G35" s="10"/>
      <c r="H35" s="10"/>
      <c r="I35" s="10"/>
      <c r="J35" s="10"/>
      <c r="K35" s="8"/>
      <c r="L35" s="8"/>
      <c r="M35" s="8"/>
      <c r="N35" s="8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1"/>
    </row>
    <row r="36" spans="1:25" ht="15">
      <c r="A36" s="1"/>
      <c r="B36" s="22"/>
      <c r="C36" s="22"/>
      <c r="D36" s="12"/>
      <c r="E36" s="12"/>
      <c r="F36" s="12"/>
      <c r="G36" s="13"/>
      <c r="H36" s="14"/>
      <c r="I36" s="14"/>
      <c r="J36" s="14"/>
      <c r="K36" s="14"/>
      <c r="L36" s="14"/>
      <c r="M36" s="14"/>
      <c r="N36" s="14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1"/>
    </row>
    <row r="37" spans="1:25" ht="15">
      <c r="A37" s="1"/>
      <c r="B37" s="22"/>
      <c r="C37" s="22"/>
      <c r="D37" s="12"/>
      <c r="E37" s="12"/>
      <c r="F37" s="12"/>
      <c r="G37" s="14"/>
      <c r="H37" s="14"/>
      <c r="I37" s="14"/>
      <c r="J37" s="14"/>
      <c r="K37" s="14"/>
      <c r="L37" s="14"/>
      <c r="M37" s="14"/>
      <c r="N37" s="14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1"/>
    </row>
    <row r="38" spans="1:25" ht="15">
      <c r="A38" s="1"/>
      <c r="B38" s="22"/>
      <c r="C38" s="22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1"/>
    </row>
    <row r="39" spans="1:25" ht="15">
      <c r="A39" s="1"/>
      <c r="B39" s="22"/>
      <c r="C39" s="22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1"/>
    </row>
    <row r="40" spans="1:25" ht="15">
      <c r="A40" s="1"/>
      <c r="B40" s="22"/>
      <c r="C40" s="22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1"/>
    </row>
    <row r="41" spans="1:25" ht="15">
      <c r="A41" s="1"/>
      <c r="B41" s="22"/>
      <c r="C41" s="22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1"/>
    </row>
    <row r="42" spans="1:25" ht="15">
      <c r="A42" s="1"/>
      <c r="B42" s="22"/>
      <c r="C42" s="22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1"/>
    </row>
    <row r="43" spans="1:25" ht="15">
      <c r="A43" s="1"/>
      <c r="B43" s="22"/>
      <c r="C43" s="22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1"/>
    </row>
    <row r="44" spans="1:25" ht="15">
      <c r="A44" s="1"/>
      <c r="B44" s="22"/>
      <c r="C44" s="22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1"/>
    </row>
    <row r="45" spans="1:25" ht="15">
      <c r="A45" s="1"/>
      <c r="B45" s="22"/>
      <c r="C45" s="22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1"/>
    </row>
    <row r="46" spans="1:25" ht="15">
      <c r="A46" s="1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1"/>
    </row>
    <row r="47" spans="1:25" ht="15">
      <c r="A47" s="1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1"/>
    </row>
    <row r="48" spans="1:25" ht="15">
      <c r="A48" s="1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1"/>
    </row>
    <row r="49" spans="1:25" ht="15">
      <c r="A49" s="1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1"/>
    </row>
    <row r="50" spans="1:25" ht="15">
      <c r="A50" s="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1"/>
    </row>
    <row r="51" spans="1:25" ht="15">
      <c r="A51" s="1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1"/>
    </row>
    <row r="52" spans="1:25" ht="15">
      <c r="A52" s="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1"/>
    </row>
    <row r="53" spans="1:25" ht="15">
      <c r="A53" s="1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1"/>
    </row>
    <row r="54" spans="1:25" ht="15">
      <c r="A54" s="1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1"/>
    </row>
    <row r="55" spans="1:25" ht="15">
      <c r="A55" s="1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1"/>
    </row>
    <row r="56" spans="1:25" ht="15">
      <c r="A56" s="1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1"/>
    </row>
    <row r="57" spans="1:25" ht="15">
      <c r="A57" s="1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1"/>
    </row>
    <row r="58" spans="1:25" ht="15">
      <c r="A58" s="1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1"/>
    </row>
    <row r="59" spans="1:25" ht="15">
      <c r="A59" s="1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1"/>
    </row>
    <row r="60" spans="1:25" ht="15">
      <c r="A60" s="1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1"/>
    </row>
    <row r="61" spans="1:25" ht="15">
      <c r="A61" s="1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1"/>
    </row>
    <row r="62" spans="1:25" ht="15">
      <c r="A62" s="1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1"/>
    </row>
    <row r="63" spans="1:25" ht="15">
      <c r="A63" s="1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1"/>
    </row>
    <row r="64" spans="1:25" ht="15">
      <c r="A64" s="1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1"/>
    </row>
    <row r="65" spans="1:25" ht="15">
      <c r="A65" s="1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1"/>
    </row>
    <row r="66" spans="1:25" ht="15">
      <c r="A66" s="1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1"/>
    </row>
    <row r="67" spans="1:25" ht="15">
      <c r="A67" s="1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1"/>
    </row>
    <row r="68" spans="1:25" ht="15">
      <c r="A68" s="1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1"/>
    </row>
    <row r="69" spans="1:25" ht="15">
      <c r="A69" s="1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1"/>
    </row>
    <row r="70" spans="1:25" ht="15">
      <c r="A70" s="1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1"/>
    </row>
    <row r="71" spans="1:25" ht="15">
      <c r="A71" s="1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1"/>
    </row>
    <row r="72" spans="1:25" ht="15">
      <c r="A72" s="1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1"/>
    </row>
    <row r="73" spans="1:25" ht="15">
      <c r="A73" s="1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1"/>
    </row>
    <row r="74" spans="1:25" ht="15">
      <c r="A74" s="1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1"/>
    </row>
    <row r="75" spans="1:25" ht="15">
      <c r="A75" s="1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1"/>
    </row>
    <row r="76" spans="1:25" ht="15">
      <c r="A76" s="1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1"/>
    </row>
    <row r="77" spans="1:25" ht="15">
      <c r="A77" s="1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1"/>
    </row>
    <row r="78" spans="1:25" ht="15">
      <c r="A78" s="1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1"/>
    </row>
    <row r="79" spans="1:25" ht="15">
      <c r="A79" s="1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1"/>
    </row>
    <row r="80" spans="1:25" ht="15">
      <c r="A80" s="1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1"/>
    </row>
    <row r="81" spans="1:25" ht="15">
      <c r="A81" s="1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1"/>
    </row>
    <row r="82" spans="1:25" ht="15">
      <c r="A82" s="1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1"/>
    </row>
    <row r="83" spans="1:25" ht="15">
      <c r="A83" s="1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1"/>
    </row>
    <row r="84" spans="1:25" ht="15">
      <c r="A84" s="1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1"/>
    </row>
    <row r="85" spans="1:25" ht="15">
      <c r="A85" s="1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1"/>
    </row>
    <row r="86" spans="1:25" ht="15">
      <c r="A86" s="1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1"/>
    </row>
    <row r="87" spans="1:25" ht="15">
      <c r="A87" s="1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1"/>
    </row>
    <row r="88" spans="1:25" ht="15">
      <c r="A88" s="1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1"/>
    </row>
    <row r="89" spans="1:25" ht="15">
      <c r="A89" s="1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1"/>
    </row>
    <row r="90" spans="1:25" ht="15">
      <c r="A90" s="1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1"/>
    </row>
    <row r="91" spans="1:25" ht="15">
      <c r="A91" s="1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1"/>
    </row>
    <row r="92" spans="1:25" ht="15">
      <c r="A92" s="1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1"/>
    </row>
    <row r="93" spans="1:25" ht="15">
      <c r="A93" s="1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1"/>
    </row>
    <row r="94" spans="1:25" ht="15">
      <c r="A94" s="1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1"/>
    </row>
    <row r="95" spans="1:25" ht="15">
      <c r="A95" s="1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1"/>
    </row>
    <row r="96" spans="1:25" ht="15">
      <c r="A96" s="1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1"/>
    </row>
    <row r="97" spans="1:25" ht="15">
      <c r="A97" s="1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1"/>
    </row>
    <row r="98" spans="1:25" ht="15">
      <c r="A98" s="1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1"/>
    </row>
    <row r="99" spans="1:25" ht="15">
      <c r="A99" s="1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1"/>
    </row>
    <row r="100" spans="1:25" ht="15">
      <c r="A100" s="1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1"/>
    </row>
    <row r="101" spans="1:25" ht="15">
      <c r="A101" s="1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1"/>
    </row>
    <row r="102" spans="1:25" ht="15">
      <c r="A102" s="1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1"/>
    </row>
    <row r="103" spans="1:25" ht="15">
      <c r="A103" s="1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1"/>
    </row>
    <row r="104" spans="1:25" ht="15">
      <c r="A104" s="1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1"/>
    </row>
    <row r="105" spans="1:25" ht="15">
      <c r="A105" s="1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1"/>
    </row>
    <row r="106" spans="1:25" ht="15">
      <c r="A106" s="1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1"/>
    </row>
    <row r="107" spans="1:25" ht="15">
      <c r="A107" s="1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1"/>
    </row>
    <row r="108" spans="1:25" ht="15">
      <c r="A108" s="1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1"/>
    </row>
    <row r="109" spans="1:25" ht="15">
      <c r="A109" s="1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1"/>
    </row>
    <row r="110" spans="1:25" ht="15">
      <c r="A110" s="1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1"/>
    </row>
    <row r="111" spans="1:25" ht="15">
      <c r="A111" s="1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1"/>
    </row>
    <row r="112" spans="1:25" ht="15">
      <c r="A112" s="1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1"/>
    </row>
    <row r="113" spans="1:25" ht="15">
      <c r="A113" s="1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1"/>
    </row>
    <row r="114" spans="1:25" ht="15">
      <c r="A114" s="1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1"/>
    </row>
    <row r="115" spans="1:25" ht="15">
      <c r="A115" s="1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1"/>
    </row>
    <row r="116" spans="1:25" ht="15">
      <c r="A116" s="1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1"/>
    </row>
    <row r="117" spans="1:25" ht="15">
      <c r="A117" s="1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1"/>
    </row>
    <row r="118" spans="1:25" ht="15">
      <c r="A118" s="1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1"/>
    </row>
    <row r="119" spans="1:25" ht="15">
      <c r="A119" s="1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1"/>
    </row>
    <row r="120" spans="1:25" ht="15">
      <c r="A120" s="1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1"/>
    </row>
    <row r="121" spans="1:25" ht="15">
      <c r="A121" s="1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1"/>
    </row>
    <row r="122" spans="1:25" ht="15">
      <c r="A122" s="1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1"/>
    </row>
    <row r="123" spans="1:25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</sheetData>
  <pageMargins left="0.7" right="0.7" top="0.75" bottom="0.75" header="0.3" footer="0.3"/>
  <drawing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50"/>
  <sheetViews>
    <sheetView showGridLines="0" workbookViewId="0">
      <selection activeCell="C13" sqref="C13"/>
    </sheetView>
  </sheetViews>
  <sheetFormatPr defaultColWidth="0" defaultRowHeight="12.75" zeroHeight="1"/>
  <cols>
    <col min="1" max="1" width="3.7109375" style="267" customWidth="1"/>
    <col min="2" max="2" width="3.7109375" style="181" customWidth="1"/>
    <col min="3" max="3" width="45.7109375" style="181" customWidth="1"/>
    <col min="4" max="8" width="8.7109375" style="181" customWidth="1"/>
    <col min="9" max="9" width="3.7109375" style="267" customWidth="1"/>
    <col min="10" max="13" width="0" style="181" hidden="1" customWidth="1"/>
    <col min="14" max="16384" width="9.140625" style="181" hidden="1"/>
  </cols>
  <sheetData>
    <row r="1" spans="2:13" s="267" customFormat="1"/>
    <row r="2" spans="2:13" ht="23.25">
      <c r="B2" s="131" t="str">
        <f>Company_Name</f>
        <v>BorgWarner Inc. (BWA)</v>
      </c>
      <c r="C2" s="133"/>
      <c r="D2" s="133"/>
      <c r="E2" s="133"/>
      <c r="F2" s="133"/>
      <c r="G2" s="133"/>
      <c r="H2" s="133"/>
    </row>
    <row r="3" spans="2:13" ht="15.75">
      <c r="B3" s="349" t="s">
        <v>227</v>
      </c>
      <c r="C3" s="133"/>
      <c r="D3" s="133"/>
      <c r="E3" s="133"/>
      <c r="F3" s="133"/>
      <c r="G3" s="133"/>
      <c r="H3" s="133"/>
    </row>
    <row r="4" spans="2:13">
      <c r="B4" s="350" t="str">
        <f>Currency</f>
        <v>(expressed in millions)</v>
      </c>
      <c r="C4" s="133"/>
      <c r="D4" s="268">
        <f t="shared" ref="D4:E4" si="0">EDATE(E4,-12)</f>
        <v>43070</v>
      </c>
      <c r="E4" s="268">
        <f t="shared" si="0"/>
        <v>43435</v>
      </c>
      <c r="F4" s="268">
        <f>LHY</f>
        <v>43800</v>
      </c>
      <c r="G4" s="268">
        <f>EDATE(F4,12)</f>
        <v>44166</v>
      </c>
      <c r="H4" s="268">
        <f t="shared" ref="H4" si="1">EDATE(G4,12)</f>
        <v>44531</v>
      </c>
    </row>
    <row r="5" spans="2:13">
      <c r="G5" s="293"/>
      <c r="H5" s="293"/>
    </row>
    <row r="6" spans="2:13">
      <c r="B6" s="270"/>
      <c r="G6" s="293"/>
      <c r="H6" s="293"/>
    </row>
    <row r="7" spans="2:13">
      <c r="B7" s="270"/>
      <c r="C7" s="271" t="s">
        <v>124</v>
      </c>
      <c r="D7" s="272"/>
      <c r="E7" s="273"/>
      <c r="F7" s="273"/>
      <c r="G7" s="293"/>
      <c r="H7" s="293"/>
    </row>
    <row r="8" spans="2:13" s="267" customFormat="1">
      <c r="B8" s="270"/>
      <c r="C8" s="274" t="s">
        <v>125</v>
      </c>
      <c r="D8" s="181"/>
      <c r="E8" s="181"/>
      <c r="F8" s="181"/>
      <c r="G8" s="293"/>
      <c r="H8" s="293"/>
      <c r="J8" s="181"/>
      <c r="K8" s="181"/>
      <c r="L8" s="181"/>
      <c r="M8" s="181"/>
    </row>
    <row r="9" spans="2:13" s="267" customFormat="1">
      <c r="B9" s="270"/>
      <c r="C9" s="275" t="s">
        <v>126</v>
      </c>
      <c r="D9" s="276"/>
      <c r="E9" s="276">
        <f>D11</f>
        <v>115.7</v>
      </c>
      <c r="F9" s="276">
        <f>E11</f>
        <v>108</v>
      </c>
      <c r="G9" s="294">
        <f t="shared" ref="G9:H9" si="2">F11</f>
        <v>106</v>
      </c>
      <c r="H9" s="294">
        <f t="shared" si="2"/>
        <v>104.89033199039723</v>
      </c>
      <c r="J9" s="181"/>
      <c r="K9" s="181"/>
      <c r="L9" s="181"/>
      <c r="M9" s="181"/>
    </row>
    <row r="10" spans="2:13" s="267" customFormat="1">
      <c r="B10" s="270"/>
      <c r="C10" s="275" t="s">
        <v>127</v>
      </c>
      <c r="D10" s="276"/>
      <c r="E10" s="276">
        <f>E11-E9</f>
        <v>-7.7000000000000028</v>
      </c>
      <c r="F10" s="276">
        <f>F11-F9</f>
        <v>-2</v>
      </c>
      <c r="G10" s="294">
        <f>IS!S6*FAM!G13</f>
        <v>-1.1096680096027762</v>
      </c>
      <c r="H10" s="294">
        <f>IS!T6*FAM!H13</f>
        <v>-0.83362718493077004</v>
      </c>
      <c r="J10" s="181"/>
      <c r="K10" s="181"/>
      <c r="L10" s="181"/>
      <c r="M10" s="181"/>
    </row>
    <row r="11" spans="2:13" s="267" customFormat="1">
      <c r="B11" s="270"/>
      <c r="C11" s="277" t="s">
        <v>128</v>
      </c>
      <c r="D11" s="278">
        <v>115.7</v>
      </c>
      <c r="E11" s="278">
        <v>108</v>
      </c>
      <c r="F11" s="278">
        <f>105+1</f>
        <v>106</v>
      </c>
      <c r="G11" s="295">
        <f t="shared" ref="G11:H11" si="3">SUM(G9:G10)</f>
        <v>104.89033199039723</v>
      </c>
      <c r="H11" s="295">
        <f t="shared" ref="H11" si="4">SUM(H9:H10)</f>
        <v>104.05670480546645</v>
      </c>
      <c r="J11" s="181"/>
      <c r="K11" s="181"/>
      <c r="L11" s="181"/>
      <c r="M11" s="181"/>
    </row>
    <row r="12" spans="2:13" s="267" customFormat="1">
      <c r="B12" s="270"/>
      <c r="C12" s="275"/>
      <c r="D12" s="181"/>
      <c r="E12" s="181"/>
      <c r="F12" s="181"/>
      <c r="G12" s="293"/>
      <c r="H12" s="293"/>
      <c r="J12" s="181"/>
      <c r="K12" s="181"/>
      <c r="L12" s="181"/>
      <c r="M12" s="181"/>
    </row>
    <row r="13" spans="2:13" s="267" customFormat="1">
      <c r="B13" s="270"/>
      <c r="C13" s="275" t="s">
        <v>129</v>
      </c>
      <c r="D13" s="272"/>
      <c r="E13" s="279">
        <f>E10/IS!I6</f>
        <v>-7.3124406457739815E-4</v>
      </c>
      <c r="F13" s="279">
        <f>F10/IS!N6</f>
        <v>-1.966955153422502E-4</v>
      </c>
      <c r="G13" s="296">
        <f>AVERAGE(E13:F13)</f>
        <v>-4.6396978995982417E-4</v>
      </c>
      <c r="H13" s="296">
        <f>AVERAGE(F13:G13)</f>
        <v>-3.3033265265103719E-4</v>
      </c>
      <c r="J13" s="181"/>
      <c r="K13" s="181"/>
      <c r="L13" s="181"/>
      <c r="M13" s="181"/>
    </row>
    <row r="14" spans="2:13" s="267" customFormat="1">
      <c r="B14" s="270"/>
      <c r="C14" s="275"/>
      <c r="D14" s="272"/>
      <c r="E14" s="279"/>
      <c r="F14" s="279"/>
      <c r="G14" s="296"/>
      <c r="H14" s="296"/>
      <c r="J14" s="181"/>
      <c r="K14" s="181"/>
      <c r="L14" s="181"/>
      <c r="M14" s="181"/>
    </row>
    <row r="15" spans="2:13" s="267" customFormat="1">
      <c r="B15" s="270"/>
      <c r="C15" s="280" t="s">
        <v>198</v>
      </c>
      <c r="D15" s="272"/>
      <c r="E15" s="279"/>
      <c r="F15" s="279"/>
      <c r="G15" s="296"/>
      <c r="H15" s="296"/>
      <c r="J15" s="181"/>
      <c r="K15" s="181"/>
      <c r="L15" s="181"/>
      <c r="M15" s="181"/>
    </row>
    <row r="16" spans="2:13" s="267" customFormat="1">
      <c r="B16" s="270"/>
      <c r="C16" s="275" t="s">
        <v>126</v>
      </c>
      <c r="D16" s="281"/>
      <c r="E16" s="282">
        <f>D18</f>
        <v>783.5</v>
      </c>
      <c r="F16" s="282">
        <f t="shared" ref="F16:H16" si="5">E18</f>
        <v>763</v>
      </c>
      <c r="G16" s="297">
        <f t="shared" si="5"/>
        <v>755</v>
      </c>
      <c r="H16" s="297">
        <f t="shared" si="5"/>
        <v>751.73104878210177</v>
      </c>
      <c r="J16" s="181"/>
      <c r="K16" s="181"/>
      <c r="L16" s="181"/>
      <c r="M16" s="181"/>
    </row>
    <row r="17" spans="1:13" s="267" customFormat="1">
      <c r="B17" s="270"/>
      <c r="C17" s="275" t="s">
        <v>127</v>
      </c>
      <c r="D17" s="281"/>
      <c r="E17" s="282">
        <f>E18-E16</f>
        <v>-20.5</v>
      </c>
      <c r="F17" s="282">
        <f t="shared" ref="F17" si="6">F18-F16</f>
        <v>-8</v>
      </c>
      <c r="G17" s="294">
        <f>IS!S6*FAM!G20</f>
        <v>-3.2689512178982834</v>
      </c>
      <c r="H17" s="294">
        <f>IS!T6*FAM!H20</f>
        <v>-2.7173893016888915</v>
      </c>
      <c r="J17" s="181"/>
      <c r="K17" s="181"/>
      <c r="L17" s="181"/>
      <c r="M17" s="181"/>
    </row>
    <row r="18" spans="1:13" s="286" customFormat="1">
      <c r="A18" s="267"/>
      <c r="B18" s="283"/>
      <c r="C18" s="277" t="s">
        <v>128</v>
      </c>
      <c r="D18" s="284">
        <v>783.5</v>
      </c>
      <c r="E18" s="285">
        <v>763</v>
      </c>
      <c r="F18" s="285">
        <v>755</v>
      </c>
      <c r="G18" s="295">
        <f>SUM(G16:G17)</f>
        <v>751.73104878210177</v>
      </c>
      <c r="H18" s="295">
        <f>SUM(H16:H17)</f>
        <v>749.01365948041291</v>
      </c>
      <c r="I18" s="267"/>
      <c r="J18" s="274"/>
      <c r="K18" s="274"/>
      <c r="L18" s="274"/>
      <c r="M18" s="274"/>
    </row>
    <row r="19" spans="1:13" s="267" customFormat="1">
      <c r="B19" s="270"/>
      <c r="C19" s="275"/>
      <c r="D19" s="272"/>
      <c r="E19" s="279"/>
      <c r="F19" s="279"/>
      <c r="G19" s="296"/>
      <c r="H19" s="296"/>
      <c r="J19" s="181"/>
      <c r="K19" s="181"/>
      <c r="L19" s="181"/>
      <c r="M19" s="181"/>
    </row>
    <row r="20" spans="1:13" s="267" customFormat="1">
      <c r="B20" s="270"/>
      <c r="C20" s="275" t="s">
        <v>129</v>
      </c>
      <c r="D20" s="272"/>
      <c r="E20" s="279">
        <f>E17/IS!I6</f>
        <v>-1.9468186134852801E-3</v>
      </c>
      <c r="F20" s="279">
        <f>F17/IS!N6</f>
        <v>-7.8678206136900079E-4</v>
      </c>
      <c r="G20" s="296">
        <f>AVERAGE(E20:F20)</f>
        <v>-1.3668003374271405E-3</v>
      </c>
      <c r="H20" s="296">
        <f>AVERAGE(F20:G20)</f>
        <v>-1.0767911993980707E-3</v>
      </c>
      <c r="J20" s="181"/>
      <c r="K20" s="181"/>
      <c r="L20" s="181"/>
      <c r="M20" s="181"/>
    </row>
    <row r="21" spans="1:13" s="267" customFormat="1">
      <c r="B21" s="270"/>
      <c r="C21" s="275"/>
      <c r="D21" s="272"/>
      <c r="E21" s="272"/>
      <c r="F21" s="272"/>
      <c r="G21" s="293"/>
      <c r="H21" s="293"/>
      <c r="J21" s="181"/>
      <c r="K21" s="181"/>
      <c r="L21" s="181"/>
      <c r="M21" s="181"/>
    </row>
    <row r="22" spans="1:13" s="267" customFormat="1">
      <c r="B22" s="270"/>
      <c r="C22" s="274" t="s">
        <v>130</v>
      </c>
      <c r="D22" s="181"/>
      <c r="E22" s="181"/>
      <c r="F22" s="181"/>
      <c r="G22" s="293"/>
      <c r="H22" s="293"/>
      <c r="J22" s="181"/>
      <c r="K22" s="181"/>
      <c r="L22" s="181"/>
      <c r="M22" s="181"/>
    </row>
    <row r="23" spans="1:13" s="267" customFormat="1">
      <c r="B23" s="270"/>
      <c r="C23" s="275" t="s">
        <v>126</v>
      </c>
      <c r="D23" s="276"/>
      <c r="E23" s="276">
        <f>D25</f>
        <v>2734.4</v>
      </c>
      <c r="F23" s="276">
        <f>E25</f>
        <v>2851</v>
      </c>
      <c r="G23" s="294">
        <f t="shared" ref="G23:H23" si="7">F25</f>
        <v>2971</v>
      </c>
      <c r="H23" s="294">
        <f t="shared" si="7"/>
        <v>2998.3546852941154</v>
      </c>
      <c r="J23" s="181"/>
      <c r="K23" s="181"/>
      <c r="L23" s="181"/>
      <c r="M23" s="181"/>
    </row>
    <row r="24" spans="1:13" s="267" customFormat="1">
      <c r="B24" s="270"/>
      <c r="C24" s="275" t="s">
        <v>127</v>
      </c>
      <c r="D24" s="276"/>
      <c r="E24" s="276">
        <f>E25-E23</f>
        <v>116.59999999999991</v>
      </c>
      <c r="F24" s="276">
        <f>F25-F23</f>
        <v>120</v>
      </c>
      <c r="G24" s="294">
        <f>IS!S6*FAM!G27</f>
        <v>27.354685294115264</v>
      </c>
      <c r="H24" s="294">
        <f>IS!T6*FAM!H27</f>
        <v>29.323159843709437</v>
      </c>
      <c r="J24" s="181"/>
      <c r="K24" s="181"/>
      <c r="L24" s="181"/>
      <c r="M24" s="181"/>
    </row>
    <row r="25" spans="1:13" s="267" customFormat="1">
      <c r="B25" s="270"/>
      <c r="C25" s="277" t="s">
        <v>128</v>
      </c>
      <c r="D25" s="278">
        <v>2734.4</v>
      </c>
      <c r="E25" s="278">
        <v>2851</v>
      </c>
      <c r="F25" s="278">
        <v>2971</v>
      </c>
      <c r="G25" s="295">
        <f t="shared" ref="G25:H25" si="8">SUM(G23:G24)</f>
        <v>2998.3546852941154</v>
      </c>
      <c r="H25" s="295">
        <f t="shared" si="8"/>
        <v>3027.677845137825</v>
      </c>
      <c r="J25" s="181"/>
      <c r="K25" s="181"/>
      <c r="L25" s="181"/>
      <c r="M25" s="181"/>
    </row>
    <row r="26" spans="1:13" s="267" customFormat="1">
      <c r="B26" s="270"/>
      <c r="C26" s="275"/>
      <c r="D26" s="181"/>
      <c r="E26" s="181"/>
      <c r="F26" s="181"/>
      <c r="G26" s="293"/>
      <c r="H26" s="293"/>
      <c r="J26" s="181"/>
      <c r="K26" s="181"/>
      <c r="L26" s="181"/>
      <c r="M26" s="181"/>
    </row>
    <row r="27" spans="1:13" s="267" customFormat="1">
      <c r="B27" s="270"/>
      <c r="C27" s="275" t="s">
        <v>129</v>
      </c>
      <c r="D27" s="272"/>
      <c r="E27" s="279">
        <f>E24/IS!I6</f>
        <v>1.107312440645773E-2</v>
      </c>
      <c r="F27" s="279">
        <f>F24/IS!N6</f>
        <v>1.1801730920535013E-2</v>
      </c>
      <c r="G27" s="296">
        <f>AVERAGE(E27:F27)</f>
        <v>1.1437427663496372E-2</v>
      </c>
      <c r="H27" s="296">
        <f>AVERAGE(F27:G27)</f>
        <v>1.1619579292015693E-2</v>
      </c>
      <c r="J27" s="181"/>
      <c r="K27" s="181"/>
      <c r="L27" s="181"/>
      <c r="M27" s="181"/>
    </row>
    <row r="28" spans="1:13" s="267" customFormat="1">
      <c r="B28" s="270"/>
      <c r="C28" s="272"/>
      <c r="D28" s="272"/>
      <c r="E28" s="272"/>
      <c r="F28" s="272"/>
      <c r="G28" s="293"/>
      <c r="H28" s="293"/>
      <c r="J28" s="181"/>
      <c r="K28" s="181"/>
      <c r="L28" s="181"/>
      <c r="M28" s="181"/>
    </row>
    <row r="29" spans="1:13" s="267" customFormat="1">
      <c r="B29" s="270"/>
      <c r="C29" s="274" t="s">
        <v>131</v>
      </c>
      <c r="D29" s="181"/>
      <c r="E29" s="181"/>
      <c r="F29" s="181"/>
      <c r="G29" s="293"/>
      <c r="H29" s="293"/>
      <c r="J29" s="181"/>
      <c r="K29" s="181"/>
      <c r="L29" s="181"/>
      <c r="M29" s="181"/>
    </row>
    <row r="30" spans="1:13" s="267" customFormat="1">
      <c r="B30" s="270"/>
      <c r="C30" s="275" t="s">
        <v>126</v>
      </c>
      <c r="D30" s="276"/>
      <c r="E30" s="276">
        <f>D32</f>
        <v>410.5</v>
      </c>
      <c r="F30" s="276">
        <f>E32</f>
        <v>426</v>
      </c>
      <c r="G30" s="294">
        <f t="shared" ref="G30:H30" si="9">F32</f>
        <v>360</v>
      </c>
      <c r="H30" s="294">
        <f t="shared" si="9"/>
        <v>353.99811424721094</v>
      </c>
      <c r="J30" s="181"/>
      <c r="K30" s="181"/>
      <c r="L30" s="181"/>
      <c r="M30" s="181"/>
    </row>
    <row r="31" spans="1:13" s="267" customFormat="1">
      <c r="B31" s="270"/>
      <c r="C31" s="275" t="s">
        <v>127</v>
      </c>
      <c r="D31" s="276"/>
      <c r="E31" s="276">
        <f>E32-E30</f>
        <v>15.5</v>
      </c>
      <c r="F31" s="276">
        <f>F32-F30</f>
        <v>-66</v>
      </c>
      <c r="G31" s="294">
        <f>IS!S6*FAM!G34</f>
        <v>-6.0018857527890415</v>
      </c>
      <c r="H31" s="294">
        <f>IS!T6*FAM!H34</f>
        <v>-11.356745598441901</v>
      </c>
      <c r="J31" s="181"/>
      <c r="K31" s="181"/>
      <c r="L31" s="181"/>
      <c r="M31" s="181"/>
    </row>
    <row r="32" spans="1:13" s="267" customFormat="1">
      <c r="B32" s="270"/>
      <c r="C32" s="277" t="s">
        <v>128</v>
      </c>
      <c r="D32" s="278">
        <v>410.5</v>
      </c>
      <c r="E32" s="278">
        <v>426</v>
      </c>
      <c r="F32" s="278">
        <v>360</v>
      </c>
      <c r="G32" s="295">
        <f t="shared" ref="G32:H32" si="10">SUM(G30:G31)</f>
        <v>353.99811424721094</v>
      </c>
      <c r="H32" s="295">
        <f t="shared" si="10"/>
        <v>342.64136864876906</v>
      </c>
      <c r="J32" s="181"/>
      <c r="K32" s="181"/>
      <c r="L32" s="181"/>
      <c r="M32" s="181"/>
    </row>
    <row r="33" spans="1:13" s="267" customFormat="1">
      <c r="B33" s="270"/>
      <c r="C33" s="280"/>
      <c r="D33" s="274"/>
      <c r="E33" s="274"/>
      <c r="F33" s="274"/>
      <c r="G33" s="298"/>
      <c r="H33" s="298"/>
      <c r="J33" s="181"/>
      <c r="K33" s="181"/>
      <c r="L33" s="181"/>
      <c r="M33" s="181"/>
    </row>
    <row r="34" spans="1:13" s="267" customFormat="1">
      <c r="B34" s="270"/>
      <c r="C34" s="275" t="s">
        <v>129</v>
      </c>
      <c r="D34" s="272"/>
      <c r="E34" s="279">
        <f>E31/IS!I6</f>
        <v>1.4719848053181387E-3</v>
      </c>
      <c r="F34" s="279">
        <f>F31/IS!N6</f>
        <v>-6.4909520062942563E-3</v>
      </c>
      <c r="G34" s="296">
        <f>AVERAGE(E34:F34)</f>
        <v>-2.5094836004880589E-3</v>
      </c>
      <c r="H34" s="296">
        <f>AVERAGE(F34:G34)</f>
        <v>-4.5002178033911574E-3</v>
      </c>
      <c r="J34" s="181"/>
      <c r="K34" s="181"/>
      <c r="L34" s="181"/>
      <c r="M34" s="181"/>
    </row>
    <row r="35" spans="1:13" s="267" customFormat="1">
      <c r="B35" s="270"/>
      <c r="C35" s="275"/>
      <c r="D35" s="272"/>
      <c r="E35" s="279"/>
      <c r="F35" s="279"/>
      <c r="G35" s="293"/>
      <c r="H35" s="293"/>
      <c r="J35" s="181"/>
      <c r="K35" s="181"/>
      <c r="L35" s="181"/>
      <c r="M35" s="181"/>
    </row>
    <row r="36" spans="1:13" s="286" customFormat="1">
      <c r="A36" s="267"/>
      <c r="B36" s="283"/>
      <c r="C36" s="287" t="s">
        <v>196</v>
      </c>
      <c r="D36" s="288"/>
      <c r="E36" s="289">
        <v>4151</v>
      </c>
      <c r="F36" s="289">
        <v>4192</v>
      </c>
      <c r="G36" s="299">
        <f>G11+G18+G25+G32</f>
        <v>4208.9741803138249</v>
      </c>
      <c r="H36" s="299">
        <f>H11+H18+H25+H32</f>
        <v>4223.3895780724733</v>
      </c>
      <c r="I36" s="267"/>
      <c r="J36" s="274"/>
      <c r="K36" s="274"/>
      <c r="L36" s="274"/>
      <c r="M36" s="274"/>
    </row>
    <row r="37" spans="1:13" s="267" customFormat="1">
      <c r="B37" s="270"/>
      <c r="C37" s="275"/>
      <c r="D37" s="272"/>
      <c r="E37" s="279"/>
      <c r="F37" s="290"/>
      <c r="G37" s="300"/>
      <c r="H37" s="300"/>
      <c r="J37" s="181"/>
      <c r="K37" s="181"/>
      <c r="L37" s="181"/>
      <c r="M37" s="181"/>
    </row>
    <row r="38" spans="1:13" s="267" customFormat="1">
      <c r="B38" s="270"/>
      <c r="C38" s="302" t="s">
        <v>132</v>
      </c>
      <c r="D38" s="303"/>
      <c r="E38" s="304">
        <f>E10+E17+E24+E31</f>
        <v>103.89999999999991</v>
      </c>
      <c r="F38" s="304">
        <f t="shared" ref="F38" si="11">F10+F17+F24+F31</f>
        <v>44</v>
      </c>
      <c r="G38" s="304">
        <f>G10+G17+G24+G31-F49+G49</f>
        <v>7.4741803138251726</v>
      </c>
      <c r="H38" s="304">
        <f>H10+H17+H24+H31-G49+H49</f>
        <v>19.165397758647885</v>
      </c>
      <c r="J38" s="181"/>
      <c r="K38" s="181"/>
      <c r="L38" s="181"/>
      <c r="M38" s="181"/>
    </row>
    <row r="39" spans="1:13" s="267" customFormat="1">
      <c r="B39" s="270"/>
      <c r="C39" s="275"/>
      <c r="D39" s="272"/>
      <c r="E39" s="279"/>
      <c r="F39" s="290"/>
      <c r="G39" s="301"/>
      <c r="H39" s="301"/>
      <c r="J39" s="181"/>
      <c r="K39" s="181"/>
      <c r="L39" s="181"/>
      <c r="M39" s="181"/>
    </row>
    <row r="40" spans="1:13" s="267" customFormat="1">
      <c r="B40" s="270"/>
      <c r="C40" s="306" t="s">
        <v>226</v>
      </c>
      <c r="D40" s="307"/>
      <c r="E40" s="308"/>
      <c r="F40" s="309"/>
      <c r="G40" s="310"/>
      <c r="H40" s="310"/>
      <c r="J40" s="181"/>
      <c r="K40" s="181"/>
      <c r="L40" s="181"/>
      <c r="M40" s="181"/>
    </row>
    <row r="41" spans="1:13" s="267" customFormat="1">
      <c r="B41" s="270"/>
      <c r="C41" s="280" t="s">
        <v>133</v>
      </c>
      <c r="D41" s="311"/>
      <c r="E41" s="312">
        <f>D43</f>
        <v>1391.7</v>
      </c>
      <c r="F41" s="312">
        <f t="shared" ref="F41:H41" si="12">E43</f>
        <v>1474</v>
      </c>
      <c r="G41" s="313">
        <f t="shared" si="12"/>
        <v>1513</v>
      </c>
      <c r="H41" s="313">
        <f t="shared" si="12"/>
        <v>1572.3382963449098</v>
      </c>
      <c r="J41" s="181"/>
      <c r="K41" s="181"/>
      <c r="L41" s="181"/>
      <c r="M41" s="181"/>
    </row>
    <row r="42" spans="1:13" s="291" customFormat="1">
      <c r="A42" s="267"/>
      <c r="B42" s="270"/>
      <c r="C42" s="305" t="s">
        <v>134</v>
      </c>
      <c r="D42" s="314"/>
      <c r="E42" s="315">
        <f>E43-E41</f>
        <v>82.299999999999955</v>
      </c>
      <c r="F42" s="315">
        <f t="shared" ref="F42" si="13">F43-F41</f>
        <v>39</v>
      </c>
      <c r="G42" s="316">
        <f>(F47+G38)*G45</f>
        <v>59.338296344909956</v>
      </c>
      <c r="H42" s="316">
        <f>(G47+H38)*H45</f>
        <v>48.363154293443799</v>
      </c>
      <c r="I42" s="267"/>
    </row>
    <row r="43" spans="1:13" s="267" customFormat="1">
      <c r="B43" s="270"/>
      <c r="C43" s="280" t="s">
        <v>135</v>
      </c>
      <c r="D43" s="317">
        <v>1391.7</v>
      </c>
      <c r="E43" s="317">
        <v>1474</v>
      </c>
      <c r="F43" s="317">
        <v>1513</v>
      </c>
      <c r="G43" s="318">
        <f>SUM(G41:G42)</f>
        <v>1572.3382963449098</v>
      </c>
      <c r="H43" s="318">
        <f>SUM(H41:H42)</f>
        <v>1620.7014506383537</v>
      </c>
      <c r="J43" s="181"/>
      <c r="K43" s="181"/>
      <c r="L43" s="181"/>
      <c r="M43" s="181"/>
    </row>
    <row r="44" spans="1:13" s="267" customFormat="1">
      <c r="B44" s="270"/>
      <c r="C44" s="280"/>
      <c r="D44" s="319"/>
      <c r="E44" s="319"/>
      <c r="F44" s="319"/>
      <c r="G44" s="320"/>
      <c r="H44" s="320"/>
      <c r="J44" s="181"/>
      <c r="K44" s="181"/>
      <c r="L44" s="181"/>
      <c r="M44" s="181"/>
    </row>
    <row r="45" spans="1:13" s="267" customFormat="1">
      <c r="B45" s="270"/>
      <c r="C45" s="321" t="s">
        <v>136</v>
      </c>
      <c r="D45" s="322"/>
      <c r="E45" s="323">
        <f>E42/(D47+E38)</f>
        <v>2.9842628181884091E-2</v>
      </c>
      <c r="F45" s="323">
        <f t="shared" ref="F45" si="14">F42/(E47+F38)</f>
        <v>1.4332965821389196E-2</v>
      </c>
      <c r="G45" s="324">
        <f>AVERAGE(E45:F45)</f>
        <v>2.2087797001636642E-2</v>
      </c>
      <c r="H45" s="324">
        <f>AVERAGE(F45:G45)</f>
        <v>1.8210381411512919E-2</v>
      </c>
      <c r="J45" s="181"/>
      <c r="K45" s="181"/>
      <c r="L45" s="181"/>
      <c r="M45" s="181"/>
    </row>
    <row r="46" spans="1:13" s="267" customFormat="1">
      <c r="B46" s="270"/>
      <c r="C46" s="280"/>
      <c r="D46" s="181"/>
      <c r="E46" s="181"/>
      <c r="F46" s="181"/>
      <c r="G46" s="301"/>
      <c r="H46" s="301"/>
      <c r="J46" s="181"/>
      <c r="K46" s="181"/>
      <c r="L46" s="181"/>
      <c r="M46" s="181"/>
    </row>
    <row r="47" spans="1:13" s="292" customFormat="1">
      <c r="A47" s="267"/>
      <c r="B47" s="283"/>
      <c r="C47" s="305" t="s">
        <v>197</v>
      </c>
      <c r="D47" s="325">
        <v>2653.9</v>
      </c>
      <c r="E47" s="326">
        <v>2677</v>
      </c>
      <c r="F47" s="326">
        <v>2679</v>
      </c>
      <c r="G47" s="327">
        <f>G36-G43</f>
        <v>2636.6358839689151</v>
      </c>
      <c r="H47" s="327">
        <f>H36-H43</f>
        <v>2602.6881274341195</v>
      </c>
      <c r="I47" s="267"/>
    </row>
    <row r="48" spans="1:13" s="267" customFormat="1">
      <c r="B48" s="270"/>
      <c r="C48" s="280"/>
      <c r="D48" s="181"/>
      <c r="E48" s="181"/>
      <c r="F48" s="276"/>
      <c r="G48" s="301"/>
      <c r="H48" s="301"/>
      <c r="J48" s="181"/>
      <c r="K48" s="181"/>
      <c r="L48" s="181"/>
      <c r="M48" s="181"/>
    </row>
    <row r="49" spans="1:13" s="267" customFormat="1">
      <c r="B49" s="270"/>
      <c r="C49" s="181" t="s">
        <v>137</v>
      </c>
      <c r="D49" s="276">
        <v>209.9</v>
      </c>
      <c r="E49" s="276">
        <v>227</v>
      </c>
      <c r="F49" s="276">
        <v>246</v>
      </c>
      <c r="G49" s="294">
        <f>AVERAGE(E49:F49)</f>
        <v>236.5</v>
      </c>
      <c r="H49" s="294">
        <f>AVERAGE(F49:G49)</f>
        <v>241.25</v>
      </c>
      <c r="J49" s="181"/>
      <c r="K49" s="181"/>
      <c r="L49" s="181"/>
      <c r="M49" s="181"/>
    </row>
    <row r="50" spans="1:13" s="267" customFormat="1">
      <c r="B50" s="270"/>
      <c r="C50" s="181"/>
      <c r="D50" s="181"/>
      <c r="E50" s="181"/>
      <c r="F50" s="181"/>
      <c r="G50" s="301"/>
      <c r="H50" s="301"/>
      <c r="J50" s="181"/>
      <c r="K50" s="181"/>
      <c r="L50" s="181"/>
      <c r="M50" s="181"/>
    </row>
    <row r="51" spans="1:13" s="292" customFormat="1">
      <c r="A51" s="267"/>
      <c r="B51" s="283"/>
      <c r="C51" s="305" t="s">
        <v>199</v>
      </c>
      <c r="D51" s="325"/>
      <c r="E51" s="326">
        <v>2904</v>
      </c>
      <c r="F51" s="326">
        <v>2925</v>
      </c>
      <c r="G51" s="327">
        <f>SUM(G47:G49)</f>
        <v>2873.1358839689151</v>
      </c>
      <c r="H51" s="327">
        <f>SUM(H47:H49)</f>
        <v>2843.9381274341195</v>
      </c>
      <c r="I51" s="267"/>
    </row>
    <row r="52" spans="1:13" s="267" customFormat="1">
      <c r="B52" s="270"/>
      <c r="C52" s="181"/>
      <c r="D52" s="181"/>
      <c r="E52" s="181"/>
      <c r="F52" s="181"/>
      <c r="G52" s="294"/>
      <c r="H52" s="293"/>
      <c r="J52" s="181"/>
      <c r="K52" s="181"/>
      <c r="L52" s="181"/>
      <c r="M52" s="181"/>
    </row>
    <row r="53" spans="1:13" s="267" customFormat="1">
      <c r="B53" s="270"/>
      <c r="C53" s="181"/>
      <c r="D53" s="181"/>
      <c r="E53" s="276"/>
      <c r="F53" s="276"/>
      <c r="G53" s="294"/>
      <c r="H53" s="293"/>
      <c r="J53" s="181"/>
      <c r="K53" s="181"/>
      <c r="L53" s="181"/>
      <c r="M53" s="181"/>
    </row>
    <row r="54" spans="1:13" s="267" customFormat="1">
      <c r="B54" s="270"/>
      <c r="C54" s="181"/>
      <c r="D54" s="181"/>
      <c r="E54" s="181"/>
      <c r="F54" s="181"/>
      <c r="G54" s="293"/>
      <c r="H54" s="293"/>
      <c r="J54" s="181"/>
      <c r="K54" s="181"/>
      <c r="L54" s="181"/>
      <c r="M54" s="181"/>
    </row>
    <row r="55" spans="1:13" s="267" customFormat="1">
      <c r="B55" s="270"/>
      <c r="C55" s="181"/>
      <c r="D55" s="181"/>
      <c r="E55" s="181"/>
      <c r="F55" s="181"/>
      <c r="G55" s="293"/>
      <c r="H55" s="293"/>
      <c r="J55" s="181"/>
      <c r="K55" s="181"/>
      <c r="L55" s="181"/>
      <c r="M55" s="181"/>
    </row>
    <row r="56" spans="1:13" s="267" customFormat="1">
      <c r="B56" s="270"/>
      <c r="C56" s="181"/>
      <c r="D56" s="181"/>
      <c r="E56" s="181"/>
      <c r="F56" s="181"/>
      <c r="G56" s="293"/>
      <c r="H56" s="293"/>
      <c r="J56" s="181"/>
      <c r="K56" s="181"/>
      <c r="L56" s="181"/>
      <c r="M56" s="181"/>
    </row>
    <row r="57" spans="1:13" s="267" customFormat="1">
      <c r="B57" s="270"/>
      <c r="C57" s="181"/>
      <c r="D57" s="181"/>
      <c r="E57" s="181"/>
      <c r="F57" s="181"/>
      <c r="G57" s="293"/>
      <c r="H57" s="293"/>
      <c r="J57" s="181"/>
      <c r="K57" s="181"/>
      <c r="L57" s="181"/>
      <c r="M57" s="181"/>
    </row>
    <row r="58" spans="1:13" s="267" customFormat="1">
      <c r="B58" s="270"/>
      <c r="C58" s="181"/>
      <c r="D58" s="181"/>
      <c r="E58" s="181"/>
      <c r="F58" s="181"/>
      <c r="G58" s="293"/>
      <c r="H58" s="293"/>
      <c r="J58" s="181"/>
      <c r="K58" s="181"/>
      <c r="L58" s="181"/>
      <c r="M58" s="181"/>
    </row>
    <row r="59" spans="1:13" s="267" customFormat="1">
      <c r="J59" s="181"/>
      <c r="K59" s="181"/>
      <c r="L59" s="181"/>
      <c r="M59" s="181"/>
    </row>
    <row r="60" spans="1:13" s="267" customFormat="1" hidden="1">
      <c r="B60" s="181"/>
      <c r="C60" s="181"/>
      <c r="D60" s="181"/>
      <c r="E60" s="181"/>
      <c r="F60" s="181"/>
      <c r="G60" s="269"/>
      <c r="H60" s="269"/>
      <c r="J60" s="181"/>
      <c r="K60" s="181"/>
      <c r="L60" s="181"/>
      <c r="M60" s="181"/>
    </row>
    <row r="61" spans="1:13" s="267" customFormat="1" hidden="1">
      <c r="B61" s="181"/>
      <c r="C61" s="181"/>
      <c r="D61" s="181"/>
      <c r="E61" s="181"/>
      <c r="F61" s="181"/>
      <c r="G61" s="269"/>
      <c r="H61" s="269"/>
      <c r="J61" s="181"/>
      <c r="K61" s="181"/>
      <c r="L61" s="181"/>
      <c r="M61" s="181"/>
    </row>
    <row r="62" spans="1:13" s="267" customFormat="1" hidden="1">
      <c r="B62" s="181"/>
      <c r="C62" s="181"/>
      <c r="D62" s="181"/>
      <c r="E62" s="181"/>
      <c r="F62" s="181"/>
      <c r="G62" s="269"/>
      <c r="H62" s="269"/>
      <c r="J62" s="181"/>
      <c r="K62" s="181"/>
      <c r="L62" s="181"/>
      <c r="M62" s="181"/>
    </row>
    <row r="63" spans="1:13" s="267" customFormat="1" hidden="1">
      <c r="B63" s="181"/>
      <c r="C63" s="181"/>
      <c r="D63" s="181"/>
      <c r="E63" s="181"/>
      <c r="F63" s="181"/>
      <c r="G63" s="269"/>
      <c r="H63" s="269"/>
      <c r="J63" s="181"/>
      <c r="K63" s="181"/>
      <c r="L63" s="181"/>
      <c r="M63" s="181"/>
    </row>
    <row r="64" spans="1:13" s="267" customFormat="1" hidden="1">
      <c r="B64" s="181"/>
      <c r="C64" s="181"/>
      <c r="D64" s="181"/>
      <c r="E64" s="181"/>
      <c r="F64" s="181"/>
      <c r="G64" s="269"/>
      <c r="H64" s="269"/>
      <c r="J64" s="181"/>
      <c r="K64" s="181"/>
      <c r="L64" s="181"/>
      <c r="M64" s="181"/>
    </row>
    <row r="65" spans="2:13" s="267" customFormat="1" hidden="1">
      <c r="B65" s="181"/>
      <c r="C65" s="181"/>
      <c r="D65" s="181"/>
      <c r="E65" s="181"/>
      <c r="F65" s="181"/>
      <c r="G65" s="269"/>
      <c r="H65" s="269"/>
      <c r="J65" s="181"/>
      <c r="K65" s="181"/>
      <c r="L65" s="181"/>
      <c r="M65" s="181"/>
    </row>
    <row r="66" spans="2:13" s="267" customFormat="1" hidden="1">
      <c r="B66" s="181"/>
      <c r="C66" s="181"/>
      <c r="D66" s="181"/>
      <c r="E66" s="181"/>
      <c r="F66" s="181"/>
      <c r="G66" s="269"/>
      <c r="H66" s="269"/>
      <c r="J66" s="181"/>
      <c r="K66" s="181"/>
      <c r="L66" s="181"/>
      <c r="M66" s="181"/>
    </row>
    <row r="67" spans="2:13" s="267" customFormat="1" hidden="1">
      <c r="B67" s="181"/>
      <c r="C67" s="181"/>
      <c r="D67" s="181"/>
      <c r="E67" s="181"/>
      <c r="F67" s="181"/>
      <c r="G67" s="269"/>
      <c r="H67" s="269"/>
      <c r="J67" s="181"/>
      <c r="K67" s="181"/>
      <c r="L67" s="181"/>
      <c r="M67" s="181"/>
    </row>
    <row r="68" spans="2:13" s="267" customFormat="1" hidden="1">
      <c r="B68" s="181"/>
      <c r="C68" s="181"/>
      <c r="D68" s="181"/>
      <c r="E68" s="181"/>
      <c r="F68" s="181"/>
      <c r="G68" s="269"/>
      <c r="H68" s="269"/>
      <c r="J68" s="181"/>
      <c r="K68" s="181"/>
      <c r="L68" s="181"/>
      <c r="M68" s="181"/>
    </row>
    <row r="69" spans="2:13" s="267" customFormat="1" hidden="1">
      <c r="B69" s="181"/>
      <c r="C69" s="181"/>
      <c r="D69" s="181"/>
      <c r="E69" s="181"/>
      <c r="F69" s="181"/>
      <c r="G69" s="269"/>
      <c r="H69" s="269"/>
      <c r="J69" s="181"/>
      <c r="K69" s="181"/>
      <c r="L69" s="181"/>
      <c r="M69" s="181"/>
    </row>
    <row r="70" spans="2:13" s="267" customFormat="1" hidden="1">
      <c r="B70" s="181"/>
      <c r="C70" s="181"/>
      <c r="D70" s="181"/>
      <c r="E70" s="181"/>
      <c r="F70" s="181"/>
      <c r="G70" s="269"/>
      <c r="H70" s="269"/>
      <c r="J70" s="181"/>
      <c r="K70" s="181"/>
      <c r="L70" s="181"/>
      <c r="M70" s="181"/>
    </row>
    <row r="71" spans="2:13" s="267" customFormat="1" hidden="1">
      <c r="B71" s="181"/>
      <c r="C71" s="181"/>
      <c r="D71" s="181"/>
      <c r="E71" s="181"/>
      <c r="F71" s="181"/>
      <c r="G71" s="269"/>
      <c r="H71" s="269"/>
      <c r="J71" s="181"/>
      <c r="K71" s="181"/>
      <c r="L71" s="181"/>
      <c r="M71" s="181"/>
    </row>
    <row r="72" spans="2:13" s="267" customFormat="1" hidden="1">
      <c r="B72" s="181"/>
      <c r="C72" s="181"/>
      <c r="D72" s="181"/>
      <c r="E72" s="181"/>
      <c r="F72" s="181"/>
      <c r="G72" s="269"/>
      <c r="H72" s="269"/>
      <c r="J72" s="181"/>
      <c r="K72" s="181"/>
      <c r="L72" s="181"/>
      <c r="M72" s="181"/>
    </row>
    <row r="73" spans="2:13" s="267" customFormat="1" hidden="1">
      <c r="B73" s="181"/>
      <c r="C73" s="181"/>
      <c r="D73" s="181"/>
      <c r="E73" s="181"/>
      <c r="F73" s="181"/>
      <c r="G73" s="269"/>
      <c r="H73" s="269"/>
      <c r="J73" s="181"/>
      <c r="K73" s="181"/>
      <c r="L73" s="181"/>
      <c r="M73" s="181"/>
    </row>
    <row r="74" spans="2:13" s="267" customFormat="1" hidden="1">
      <c r="B74" s="181"/>
      <c r="C74" s="181"/>
      <c r="D74" s="181"/>
      <c r="E74" s="181"/>
      <c r="F74" s="181"/>
      <c r="G74" s="269"/>
      <c r="H74" s="269"/>
      <c r="J74" s="181"/>
      <c r="K74" s="181"/>
      <c r="L74" s="181"/>
      <c r="M74" s="181"/>
    </row>
    <row r="75" spans="2:13" s="267" customFormat="1" hidden="1">
      <c r="B75" s="181"/>
      <c r="C75" s="181"/>
      <c r="D75" s="181"/>
      <c r="E75" s="181"/>
      <c r="F75" s="181"/>
      <c r="G75" s="269"/>
      <c r="H75" s="269"/>
      <c r="J75" s="181"/>
      <c r="K75" s="181"/>
      <c r="L75" s="181"/>
      <c r="M75" s="181"/>
    </row>
    <row r="76" spans="2:13" s="267" customFormat="1" hidden="1">
      <c r="B76" s="181"/>
      <c r="C76" s="181"/>
      <c r="D76" s="181"/>
      <c r="E76" s="181"/>
      <c r="F76" s="181"/>
      <c r="G76" s="269"/>
      <c r="H76" s="269"/>
      <c r="J76" s="181"/>
      <c r="K76" s="181"/>
      <c r="L76" s="181"/>
      <c r="M76" s="181"/>
    </row>
    <row r="77" spans="2:13" s="267" customFormat="1" hidden="1">
      <c r="B77" s="181"/>
      <c r="C77" s="181"/>
      <c r="D77" s="181"/>
      <c r="E77" s="181"/>
      <c r="F77" s="181"/>
      <c r="G77" s="269"/>
      <c r="H77" s="269"/>
      <c r="J77" s="181"/>
      <c r="K77" s="181"/>
      <c r="L77" s="181"/>
      <c r="M77" s="181"/>
    </row>
    <row r="78" spans="2:13" s="267" customFormat="1" hidden="1">
      <c r="B78" s="181"/>
      <c r="C78" s="181"/>
      <c r="D78" s="181"/>
      <c r="E78" s="181"/>
      <c r="F78" s="181"/>
      <c r="G78" s="269"/>
      <c r="H78" s="269"/>
      <c r="J78" s="181"/>
      <c r="K78" s="181"/>
      <c r="L78" s="181"/>
      <c r="M78" s="181"/>
    </row>
    <row r="79" spans="2:13" s="267" customFormat="1" hidden="1">
      <c r="B79" s="181"/>
      <c r="C79" s="181"/>
      <c r="D79" s="181"/>
      <c r="E79" s="181"/>
      <c r="F79" s="181"/>
      <c r="G79" s="269"/>
      <c r="H79" s="269"/>
      <c r="J79" s="181"/>
      <c r="K79" s="181"/>
      <c r="L79" s="181"/>
      <c r="M79" s="181"/>
    </row>
    <row r="80" spans="2:13" s="267" customFormat="1" hidden="1">
      <c r="B80" s="181"/>
      <c r="C80" s="181"/>
      <c r="D80" s="181"/>
      <c r="E80" s="181"/>
      <c r="F80" s="181"/>
      <c r="G80" s="269"/>
      <c r="H80" s="269"/>
      <c r="J80" s="181"/>
      <c r="K80" s="181"/>
      <c r="L80" s="181"/>
      <c r="M80" s="181"/>
    </row>
    <row r="81" spans="2:13" s="267" customFormat="1" hidden="1">
      <c r="B81" s="181"/>
      <c r="C81" s="181"/>
      <c r="D81" s="181"/>
      <c r="E81" s="181"/>
      <c r="F81" s="181"/>
      <c r="G81" s="269"/>
      <c r="H81" s="269"/>
      <c r="J81" s="181"/>
      <c r="K81" s="181"/>
      <c r="L81" s="181"/>
      <c r="M81" s="181"/>
    </row>
    <row r="82" spans="2:13" s="267" customFormat="1" hidden="1">
      <c r="B82" s="181"/>
      <c r="C82" s="181"/>
      <c r="D82" s="181"/>
      <c r="E82" s="181"/>
      <c r="F82" s="181"/>
      <c r="G82" s="269"/>
      <c r="H82" s="269"/>
      <c r="J82" s="181"/>
      <c r="K82" s="181"/>
      <c r="L82" s="181"/>
      <c r="M82" s="181"/>
    </row>
    <row r="83" spans="2:13" s="267" customFormat="1" hidden="1">
      <c r="B83" s="181"/>
      <c r="C83" s="181"/>
      <c r="D83" s="181"/>
      <c r="E83" s="181"/>
      <c r="F83" s="181"/>
      <c r="G83" s="269"/>
      <c r="H83" s="269"/>
      <c r="J83" s="181"/>
      <c r="K83" s="181"/>
      <c r="L83" s="181"/>
      <c r="M83" s="181"/>
    </row>
    <row r="84" spans="2:13" s="267" customFormat="1" hidden="1">
      <c r="B84" s="181"/>
      <c r="C84" s="181"/>
      <c r="D84" s="181"/>
      <c r="E84" s="181"/>
      <c r="F84" s="181"/>
      <c r="G84" s="269"/>
      <c r="H84" s="269"/>
      <c r="J84" s="181"/>
      <c r="K84" s="181"/>
      <c r="L84" s="181"/>
      <c r="M84" s="181"/>
    </row>
    <row r="85" spans="2:13" s="267" customFormat="1" hidden="1">
      <c r="B85" s="181"/>
      <c r="C85" s="181"/>
      <c r="D85" s="181"/>
      <c r="E85" s="181"/>
      <c r="F85" s="181"/>
      <c r="G85" s="269"/>
      <c r="H85" s="269"/>
      <c r="J85" s="181"/>
      <c r="K85" s="181"/>
      <c r="L85" s="181"/>
      <c r="M85" s="181"/>
    </row>
    <row r="86" spans="2:13" s="267" customFormat="1" hidden="1">
      <c r="B86" s="181"/>
      <c r="C86" s="181"/>
      <c r="D86" s="181"/>
      <c r="E86" s="181"/>
      <c r="F86" s="181"/>
      <c r="G86" s="269"/>
      <c r="H86" s="269"/>
      <c r="J86" s="181"/>
      <c r="K86" s="181"/>
      <c r="L86" s="181"/>
      <c r="M86" s="181"/>
    </row>
    <row r="87" spans="2:13" s="267" customFormat="1" hidden="1">
      <c r="B87" s="181"/>
      <c r="C87" s="181"/>
      <c r="D87" s="181"/>
      <c r="E87" s="181"/>
      <c r="F87" s="181"/>
      <c r="G87" s="269"/>
      <c r="H87" s="269"/>
      <c r="J87" s="181"/>
      <c r="K87" s="181"/>
      <c r="L87" s="181"/>
      <c r="M87" s="181"/>
    </row>
    <row r="88" spans="2:13" s="267" customFormat="1" hidden="1">
      <c r="B88" s="181"/>
      <c r="C88" s="181"/>
      <c r="D88" s="181"/>
      <c r="E88" s="181"/>
      <c r="F88" s="181"/>
      <c r="G88" s="269"/>
      <c r="H88" s="269"/>
      <c r="J88" s="181"/>
      <c r="K88" s="181"/>
      <c r="L88" s="181"/>
      <c r="M88" s="181"/>
    </row>
    <row r="89" spans="2:13" s="267" customFormat="1" hidden="1">
      <c r="B89" s="181"/>
      <c r="C89" s="181"/>
      <c r="D89" s="181"/>
      <c r="E89" s="181"/>
      <c r="F89" s="181"/>
      <c r="G89" s="269"/>
      <c r="H89" s="269"/>
      <c r="J89" s="181"/>
      <c r="K89" s="181"/>
      <c r="L89" s="181"/>
      <c r="M89" s="181"/>
    </row>
    <row r="90" spans="2:13" s="267" customFormat="1" hidden="1">
      <c r="B90" s="181"/>
      <c r="C90" s="181"/>
      <c r="D90" s="181"/>
      <c r="E90" s="181"/>
      <c r="F90" s="181"/>
      <c r="G90" s="269"/>
      <c r="H90" s="269"/>
      <c r="J90" s="181"/>
      <c r="K90" s="181"/>
      <c r="L90" s="181"/>
      <c r="M90" s="181"/>
    </row>
    <row r="91" spans="2:13" s="267" customFormat="1" hidden="1">
      <c r="B91" s="181"/>
      <c r="C91" s="181"/>
      <c r="D91" s="181"/>
      <c r="E91" s="181"/>
      <c r="F91" s="181"/>
      <c r="G91" s="269"/>
      <c r="H91" s="269"/>
      <c r="J91" s="181"/>
      <c r="K91" s="181"/>
      <c r="L91" s="181"/>
      <c r="M91" s="181"/>
    </row>
    <row r="92" spans="2:13" s="267" customFormat="1" hidden="1">
      <c r="B92" s="181"/>
      <c r="C92" s="181"/>
      <c r="D92" s="181"/>
      <c r="E92" s="181"/>
      <c r="F92" s="181"/>
      <c r="G92" s="269"/>
      <c r="H92" s="269"/>
      <c r="J92" s="181"/>
      <c r="K92" s="181"/>
      <c r="L92" s="181"/>
      <c r="M92" s="181"/>
    </row>
    <row r="93" spans="2:13" s="267" customFormat="1" hidden="1">
      <c r="B93" s="181"/>
      <c r="C93" s="181"/>
      <c r="D93" s="181"/>
      <c r="E93" s="181"/>
      <c r="F93" s="181"/>
      <c r="G93" s="269"/>
      <c r="H93" s="269"/>
      <c r="J93" s="181"/>
      <c r="K93" s="181"/>
      <c r="L93" s="181"/>
      <c r="M93" s="181"/>
    </row>
    <row r="94" spans="2:13" s="267" customFormat="1" hidden="1">
      <c r="B94" s="181"/>
      <c r="C94" s="181"/>
      <c r="D94" s="181"/>
      <c r="E94" s="181"/>
      <c r="F94" s="181"/>
      <c r="G94" s="269"/>
      <c r="H94" s="269"/>
      <c r="J94" s="181"/>
      <c r="K94" s="181"/>
      <c r="L94" s="181"/>
      <c r="M94" s="181"/>
    </row>
    <row r="95" spans="2:13" s="267" customFormat="1" hidden="1">
      <c r="B95" s="181"/>
      <c r="C95" s="181"/>
      <c r="D95" s="181"/>
      <c r="E95" s="181"/>
      <c r="F95" s="181"/>
      <c r="G95" s="269"/>
      <c r="H95" s="269"/>
      <c r="J95" s="181"/>
      <c r="K95" s="181"/>
      <c r="L95" s="181"/>
      <c r="M95" s="181"/>
    </row>
    <row r="96" spans="2:13" s="267" customFormat="1" hidden="1">
      <c r="B96" s="181"/>
      <c r="C96" s="181"/>
      <c r="D96" s="181"/>
      <c r="E96" s="181"/>
      <c r="F96" s="181"/>
      <c r="G96" s="269"/>
      <c r="H96" s="269"/>
      <c r="J96" s="181"/>
      <c r="K96" s="181"/>
      <c r="L96" s="181"/>
      <c r="M96" s="181"/>
    </row>
    <row r="97" spans="2:13" s="267" customFormat="1" hidden="1">
      <c r="B97" s="181"/>
      <c r="C97" s="181"/>
      <c r="D97" s="181"/>
      <c r="E97" s="181"/>
      <c r="F97" s="181"/>
      <c r="G97" s="269"/>
      <c r="H97" s="269"/>
      <c r="J97" s="181"/>
      <c r="K97" s="181"/>
      <c r="L97" s="181"/>
      <c r="M97" s="181"/>
    </row>
    <row r="98" spans="2:13" s="267" customFormat="1" hidden="1">
      <c r="B98" s="181"/>
      <c r="C98" s="181"/>
      <c r="D98" s="181"/>
      <c r="E98" s="181"/>
      <c r="F98" s="181"/>
      <c r="G98" s="269"/>
      <c r="H98" s="269"/>
      <c r="J98" s="181"/>
      <c r="K98" s="181"/>
      <c r="L98" s="181"/>
      <c r="M98" s="181"/>
    </row>
    <row r="99" spans="2:13" s="267" customFormat="1" hidden="1">
      <c r="B99" s="181"/>
      <c r="C99" s="181"/>
      <c r="D99" s="181"/>
      <c r="E99" s="181"/>
      <c r="F99" s="181"/>
      <c r="G99" s="269"/>
      <c r="H99" s="269"/>
      <c r="J99" s="181"/>
      <c r="K99" s="181"/>
      <c r="L99" s="181"/>
      <c r="M99" s="181"/>
    </row>
    <row r="100" spans="2:13" s="267" customFormat="1" hidden="1">
      <c r="B100" s="181"/>
      <c r="C100" s="181"/>
      <c r="D100" s="181"/>
      <c r="E100" s="181"/>
      <c r="F100" s="181"/>
      <c r="G100" s="269"/>
      <c r="H100" s="269"/>
      <c r="J100" s="181"/>
      <c r="K100" s="181"/>
      <c r="L100" s="181"/>
      <c r="M100" s="181"/>
    </row>
    <row r="101" spans="2:13" s="267" customFormat="1" hidden="1">
      <c r="B101" s="181"/>
      <c r="C101" s="181"/>
      <c r="D101" s="181"/>
      <c r="E101" s="181"/>
      <c r="F101" s="181"/>
      <c r="G101" s="269"/>
      <c r="H101" s="269"/>
      <c r="J101" s="181"/>
      <c r="K101" s="181"/>
      <c r="L101" s="181"/>
      <c r="M101" s="181"/>
    </row>
    <row r="102" spans="2:13" s="267" customFormat="1" hidden="1">
      <c r="B102" s="181"/>
      <c r="C102" s="181"/>
      <c r="D102" s="181"/>
      <c r="E102" s="181"/>
      <c r="F102" s="181"/>
      <c r="G102" s="269"/>
      <c r="H102" s="269"/>
      <c r="J102" s="181"/>
      <c r="K102" s="181"/>
      <c r="L102" s="181"/>
      <c r="M102" s="181"/>
    </row>
    <row r="103" spans="2:13" s="267" customFormat="1" hidden="1">
      <c r="B103" s="181"/>
      <c r="C103" s="181"/>
      <c r="D103" s="181"/>
      <c r="E103" s="181"/>
      <c r="F103" s="181"/>
      <c r="G103" s="269"/>
      <c r="H103" s="269"/>
      <c r="J103" s="181"/>
      <c r="K103" s="181"/>
      <c r="L103" s="181"/>
      <c r="M103" s="181"/>
    </row>
    <row r="104" spans="2:13" s="267" customFormat="1" hidden="1">
      <c r="B104" s="181"/>
      <c r="C104" s="181"/>
      <c r="D104" s="181"/>
      <c r="E104" s="181"/>
      <c r="F104" s="181"/>
      <c r="G104" s="269"/>
      <c r="H104" s="269"/>
      <c r="J104" s="181"/>
      <c r="K104" s="181"/>
      <c r="L104" s="181"/>
      <c r="M104" s="181"/>
    </row>
    <row r="105" spans="2:13" s="267" customFormat="1" hidden="1">
      <c r="B105" s="181"/>
      <c r="C105" s="181"/>
      <c r="D105" s="181"/>
      <c r="E105" s="181"/>
      <c r="F105" s="181"/>
      <c r="G105" s="269"/>
      <c r="H105" s="269"/>
      <c r="J105" s="181"/>
      <c r="K105" s="181"/>
      <c r="L105" s="181"/>
      <c r="M105" s="181"/>
    </row>
    <row r="106" spans="2:13" s="267" customFormat="1" hidden="1">
      <c r="B106" s="181"/>
      <c r="C106" s="181"/>
      <c r="D106" s="181"/>
      <c r="E106" s="181"/>
      <c r="F106" s="181"/>
      <c r="G106" s="269"/>
      <c r="H106" s="269"/>
      <c r="J106" s="181"/>
      <c r="K106" s="181"/>
      <c r="L106" s="181"/>
      <c r="M106" s="181"/>
    </row>
    <row r="107" spans="2:13" s="267" customFormat="1" hidden="1">
      <c r="B107" s="181"/>
      <c r="C107" s="181"/>
      <c r="D107" s="181"/>
      <c r="E107" s="181"/>
      <c r="F107" s="181"/>
      <c r="G107" s="269"/>
      <c r="H107" s="269"/>
      <c r="J107" s="181"/>
      <c r="K107" s="181"/>
      <c r="L107" s="181"/>
      <c r="M107" s="181"/>
    </row>
    <row r="108" spans="2:13" s="267" customFormat="1" hidden="1">
      <c r="B108" s="181"/>
      <c r="C108" s="181"/>
      <c r="D108" s="181"/>
      <c r="E108" s="181"/>
      <c r="F108" s="181"/>
      <c r="G108" s="269"/>
      <c r="H108" s="269"/>
      <c r="J108" s="181"/>
      <c r="K108" s="181"/>
      <c r="L108" s="181"/>
      <c r="M108" s="181"/>
    </row>
    <row r="109" spans="2:13" s="267" customFormat="1" hidden="1">
      <c r="B109" s="181"/>
      <c r="C109" s="181"/>
      <c r="D109" s="181"/>
      <c r="E109" s="181"/>
      <c r="F109" s="181"/>
      <c r="G109" s="269"/>
      <c r="H109" s="269"/>
      <c r="J109" s="181"/>
      <c r="K109" s="181"/>
      <c r="L109" s="181"/>
      <c r="M109" s="181"/>
    </row>
    <row r="110" spans="2:13" s="267" customFormat="1" hidden="1">
      <c r="B110" s="181"/>
      <c r="C110" s="181"/>
      <c r="D110" s="181"/>
      <c r="E110" s="181"/>
      <c r="F110" s="181"/>
      <c r="G110" s="269"/>
      <c r="H110" s="269"/>
      <c r="J110" s="181"/>
      <c r="K110" s="181"/>
      <c r="L110" s="181"/>
      <c r="M110" s="181"/>
    </row>
    <row r="111" spans="2:13" s="267" customFormat="1" hidden="1">
      <c r="B111" s="181"/>
      <c r="C111" s="181"/>
      <c r="D111" s="181"/>
      <c r="E111" s="181"/>
      <c r="F111" s="181"/>
      <c r="G111" s="269"/>
      <c r="H111" s="269"/>
      <c r="J111" s="181"/>
      <c r="K111" s="181"/>
      <c r="L111" s="181"/>
      <c r="M111" s="181"/>
    </row>
    <row r="112" spans="2:13" s="267" customFormat="1" hidden="1">
      <c r="B112" s="181"/>
      <c r="C112" s="181"/>
      <c r="D112" s="181"/>
      <c r="E112" s="181"/>
      <c r="F112" s="181"/>
      <c r="G112" s="269"/>
      <c r="H112" s="269"/>
      <c r="J112" s="181"/>
      <c r="K112" s="181"/>
      <c r="L112" s="181"/>
      <c r="M112" s="181"/>
    </row>
    <row r="113" spans="2:13" s="267" customFormat="1" hidden="1">
      <c r="B113" s="181"/>
      <c r="C113" s="181"/>
      <c r="D113" s="181"/>
      <c r="E113" s="181"/>
      <c r="F113" s="181"/>
      <c r="G113" s="269"/>
      <c r="H113" s="269"/>
      <c r="J113" s="181"/>
      <c r="K113" s="181"/>
      <c r="L113" s="181"/>
      <c r="M113" s="181"/>
    </row>
    <row r="114" spans="2:13" s="267" customFormat="1" hidden="1">
      <c r="B114" s="181"/>
      <c r="C114" s="181"/>
      <c r="D114" s="181"/>
      <c r="E114" s="181"/>
      <c r="F114" s="181"/>
      <c r="G114" s="269"/>
      <c r="H114" s="269"/>
      <c r="J114" s="181"/>
      <c r="K114" s="181"/>
      <c r="L114" s="181"/>
      <c r="M114" s="181"/>
    </row>
    <row r="115" spans="2:13" s="267" customFormat="1" hidden="1">
      <c r="B115" s="181"/>
      <c r="C115" s="181"/>
      <c r="D115" s="181"/>
      <c r="E115" s="181"/>
      <c r="F115" s="181"/>
      <c r="G115" s="269"/>
      <c r="H115" s="269"/>
      <c r="J115" s="181"/>
      <c r="K115" s="181"/>
      <c r="L115" s="181"/>
      <c r="M115" s="181"/>
    </row>
    <row r="116" spans="2:13" s="267" customFormat="1" hidden="1">
      <c r="B116" s="181"/>
      <c r="C116" s="181"/>
      <c r="D116" s="181"/>
      <c r="E116" s="181"/>
      <c r="F116" s="181"/>
      <c r="G116" s="269"/>
      <c r="H116" s="269"/>
      <c r="J116" s="181"/>
      <c r="K116" s="181"/>
      <c r="L116" s="181"/>
      <c r="M116" s="181"/>
    </row>
    <row r="117" spans="2:13" s="267" customFormat="1" hidden="1">
      <c r="B117" s="181"/>
      <c r="C117" s="181"/>
      <c r="D117" s="181"/>
      <c r="E117" s="181"/>
      <c r="F117" s="181"/>
      <c r="G117" s="269"/>
      <c r="H117" s="269"/>
      <c r="J117" s="181"/>
      <c r="K117" s="181"/>
      <c r="L117" s="181"/>
      <c r="M117" s="181"/>
    </row>
    <row r="118" spans="2:13" s="267" customFormat="1" hidden="1">
      <c r="B118" s="181"/>
      <c r="C118" s="181"/>
      <c r="D118" s="181"/>
      <c r="E118" s="181"/>
      <c r="F118" s="181"/>
      <c r="G118" s="269"/>
      <c r="H118" s="269"/>
      <c r="J118" s="181"/>
      <c r="K118" s="181"/>
      <c r="L118" s="181"/>
      <c r="M118" s="181"/>
    </row>
    <row r="119" spans="2:13" s="267" customFormat="1" hidden="1">
      <c r="B119" s="181"/>
      <c r="C119" s="181"/>
      <c r="D119" s="181"/>
      <c r="E119" s="181"/>
      <c r="F119" s="181"/>
      <c r="G119" s="269"/>
      <c r="H119" s="269"/>
      <c r="J119" s="181"/>
      <c r="K119" s="181"/>
      <c r="L119" s="181"/>
      <c r="M119" s="181"/>
    </row>
    <row r="120" spans="2:13" s="267" customFormat="1" hidden="1">
      <c r="B120" s="181"/>
      <c r="C120" s="181"/>
      <c r="D120" s="181"/>
      <c r="E120" s="181"/>
      <c r="F120" s="181"/>
      <c r="G120" s="269"/>
      <c r="H120" s="269"/>
      <c r="J120" s="181"/>
      <c r="K120" s="181"/>
      <c r="L120" s="181"/>
      <c r="M120" s="181"/>
    </row>
    <row r="121" spans="2:13" s="267" customFormat="1" hidden="1">
      <c r="B121" s="181"/>
      <c r="C121" s="181"/>
      <c r="D121" s="181"/>
      <c r="E121" s="181"/>
      <c r="F121" s="181"/>
      <c r="G121" s="269"/>
      <c r="H121" s="269"/>
      <c r="J121" s="181"/>
      <c r="K121" s="181"/>
      <c r="L121" s="181"/>
      <c r="M121" s="181"/>
    </row>
    <row r="122" spans="2:13" s="267" customFormat="1" hidden="1">
      <c r="B122" s="181"/>
      <c r="C122" s="181"/>
      <c r="D122" s="181"/>
      <c r="E122" s="181"/>
      <c r="F122" s="181"/>
      <c r="G122" s="269"/>
      <c r="H122" s="269"/>
      <c r="J122" s="181"/>
      <c r="K122" s="181"/>
      <c r="L122" s="181"/>
      <c r="M122" s="181"/>
    </row>
    <row r="123" spans="2:13" s="267" customFormat="1" hidden="1">
      <c r="B123" s="181"/>
      <c r="C123" s="181"/>
      <c r="D123" s="181"/>
      <c r="E123" s="181"/>
      <c r="F123" s="181"/>
      <c r="G123" s="269"/>
      <c r="H123" s="269"/>
      <c r="J123" s="181"/>
      <c r="K123" s="181"/>
      <c r="L123" s="181"/>
      <c r="M123" s="181"/>
    </row>
    <row r="124" spans="2:13" s="267" customFormat="1" hidden="1">
      <c r="B124" s="181"/>
      <c r="C124" s="181"/>
      <c r="D124" s="181"/>
      <c r="E124" s="181"/>
      <c r="F124" s="181"/>
      <c r="G124" s="269"/>
      <c r="H124" s="269"/>
      <c r="J124" s="181"/>
      <c r="K124" s="181"/>
      <c r="L124" s="181"/>
      <c r="M124" s="181"/>
    </row>
    <row r="125" spans="2:13" s="267" customFormat="1" hidden="1">
      <c r="B125" s="181"/>
      <c r="C125" s="181"/>
      <c r="D125" s="181"/>
      <c r="E125" s="181"/>
      <c r="F125" s="181"/>
      <c r="G125" s="269"/>
      <c r="H125" s="269"/>
      <c r="J125" s="181"/>
      <c r="K125" s="181"/>
      <c r="L125" s="181"/>
      <c r="M125" s="181"/>
    </row>
    <row r="126" spans="2:13" s="267" customFormat="1" hidden="1">
      <c r="B126" s="181"/>
      <c r="C126" s="181"/>
      <c r="D126" s="181"/>
      <c r="E126" s="181"/>
      <c r="F126" s="181"/>
      <c r="G126" s="269"/>
      <c r="H126" s="269"/>
      <c r="J126" s="181"/>
      <c r="K126" s="181"/>
      <c r="L126" s="181"/>
      <c r="M126" s="181"/>
    </row>
    <row r="127" spans="2:13" s="267" customFormat="1" hidden="1">
      <c r="B127" s="181"/>
      <c r="C127" s="181"/>
      <c r="D127" s="181"/>
      <c r="E127" s="181"/>
      <c r="F127" s="181"/>
      <c r="G127" s="269"/>
      <c r="H127" s="269"/>
      <c r="J127" s="181"/>
      <c r="K127" s="181"/>
      <c r="L127" s="181"/>
      <c r="M127" s="181"/>
    </row>
    <row r="128" spans="2:13" s="267" customFormat="1" hidden="1">
      <c r="B128" s="181"/>
      <c r="C128" s="181"/>
      <c r="D128" s="181"/>
      <c r="E128" s="181"/>
      <c r="F128" s="181"/>
      <c r="G128" s="269"/>
      <c r="H128" s="269"/>
      <c r="J128" s="181"/>
      <c r="K128" s="181"/>
      <c r="L128" s="181"/>
      <c r="M128" s="181"/>
    </row>
    <row r="129" spans="2:13" s="267" customFormat="1" hidden="1">
      <c r="B129" s="181"/>
      <c r="C129" s="181"/>
      <c r="D129" s="181"/>
      <c r="E129" s="181"/>
      <c r="F129" s="181"/>
      <c r="G129" s="269"/>
      <c r="H129" s="269"/>
      <c r="J129" s="181"/>
      <c r="K129" s="181"/>
      <c r="L129" s="181"/>
      <c r="M129" s="181"/>
    </row>
    <row r="130" spans="2:13" s="267" customFormat="1" hidden="1">
      <c r="B130" s="181"/>
      <c r="C130" s="181"/>
      <c r="D130" s="181"/>
      <c r="E130" s="181"/>
      <c r="F130" s="181"/>
      <c r="G130" s="269"/>
      <c r="H130" s="269"/>
      <c r="J130" s="181"/>
      <c r="K130" s="181"/>
      <c r="L130" s="181"/>
      <c r="M130" s="181"/>
    </row>
    <row r="131" spans="2:13" s="267" customFormat="1" hidden="1">
      <c r="B131" s="181"/>
      <c r="C131" s="181"/>
      <c r="D131" s="181"/>
      <c r="E131" s="181"/>
      <c r="F131" s="181"/>
      <c r="G131" s="269"/>
      <c r="H131" s="269"/>
      <c r="J131" s="181"/>
      <c r="K131" s="181"/>
      <c r="L131" s="181"/>
      <c r="M131" s="181"/>
    </row>
    <row r="132" spans="2:13" s="267" customFormat="1" hidden="1">
      <c r="B132" s="181"/>
      <c r="C132" s="181"/>
      <c r="D132" s="181"/>
      <c r="E132" s="181"/>
      <c r="F132" s="181"/>
      <c r="G132" s="269"/>
      <c r="H132" s="269"/>
      <c r="J132" s="181"/>
      <c r="K132" s="181"/>
      <c r="L132" s="181"/>
      <c r="M132" s="181"/>
    </row>
    <row r="133" spans="2:13" s="267" customFormat="1" hidden="1">
      <c r="B133" s="181"/>
      <c r="C133" s="181"/>
      <c r="D133" s="181"/>
      <c r="E133" s="181"/>
      <c r="F133" s="181"/>
      <c r="G133" s="269"/>
      <c r="H133" s="269"/>
      <c r="J133" s="181"/>
      <c r="K133" s="181"/>
      <c r="L133" s="181"/>
      <c r="M133" s="181"/>
    </row>
    <row r="134" spans="2:13" s="267" customFormat="1" hidden="1">
      <c r="B134" s="181"/>
      <c r="C134" s="181"/>
      <c r="D134" s="181"/>
      <c r="E134" s="181"/>
      <c r="F134" s="181"/>
      <c r="G134" s="269"/>
      <c r="H134" s="269"/>
      <c r="J134" s="181"/>
      <c r="K134" s="181"/>
      <c r="L134" s="181"/>
      <c r="M134" s="181"/>
    </row>
    <row r="135" spans="2:13" s="267" customFormat="1" hidden="1">
      <c r="B135" s="181"/>
      <c r="C135" s="181"/>
      <c r="D135" s="181"/>
      <c r="E135" s="181"/>
      <c r="F135" s="181"/>
      <c r="G135" s="269"/>
      <c r="H135" s="269"/>
      <c r="J135" s="181"/>
      <c r="K135" s="181"/>
      <c r="L135" s="181"/>
      <c r="M135" s="181"/>
    </row>
    <row r="136" spans="2:13" s="267" customFormat="1" hidden="1">
      <c r="B136" s="181"/>
      <c r="C136" s="181"/>
      <c r="D136" s="181"/>
      <c r="E136" s="181"/>
      <c r="F136" s="181"/>
      <c r="G136" s="269"/>
      <c r="H136" s="269"/>
      <c r="J136" s="181"/>
      <c r="K136" s="181"/>
      <c r="L136" s="181"/>
      <c r="M136" s="181"/>
    </row>
    <row r="137" spans="2:13" s="267" customFormat="1" hidden="1">
      <c r="B137" s="181"/>
      <c r="D137" s="181"/>
      <c r="E137" s="181"/>
      <c r="F137" s="181"/>
      <c r="G137" s="269"/>
      <c r="H137" s="269"/>
      <c r="J137" s="181"/>
      <c r="K137" s="181"/>
      <c r="L137" s="181"/>
      <c r="M137" s="181"/>
    </row>
    <row r="138" spans="2:13" s="267" customFormat="1" hidden="1">
      <c r="C138" s="181"/>
    </row>
    <row r="139" spans="2:13" s="267" customFormat="1" hidden="1">
      <c r="B139" s="181"/>
      <c r="C139" s="181"/>
      <c r="D139" s="181"/>
      <c r="E139" s="181"/>
      <c r="F139" s="181"/>
      <c r="G139" s="181"/>
      <c r="H139" s="181"/>
      <c r="J139" s="181"/>
      <c r="K139" s="181"/>
      <c r="L139" s="181"/>
      <c r="M139" s="181"/>
    </row>
    <row r="140" spans="2:13" s="267" customFormat="1" hidden="1">
      <c r="B140" s="181"/>
      <c r="C140" s="181"/>
      <c r="D140" s="181"/>
      <c r="E140" s="181"/>
      <c r="F140" s="181"/>
      <c r="G140" s="181"/>
      <c r="H140" s="181"/>
      <c r="J140" s="181"/>
      <c r="K140" s="181"/>
      <c r="L140" s="181"/>
      <c r="M140" s="181"/>
    </row>
    <row r="141" spans="2:13" s="267" customFormat="1" hidden="1">
      <c r="B141" s="181"/>
      <c r="C141" s="181"/>
      <c r="D141" s="181"/>
      <c r="E141" s="181"/>
      <c r="F141" s="181"/>
      <c r="G141" s="181"/>
      <c r="H141" s="181"/>
      <c r="J141" s="181"/>
      <c r="K141" s="181"/>
      <c r="L141" s="181"/>
      <c r="M141" s="181"/>
    </row>
    <row r="142" spans="2:13" s="267" customFormat="1" hidden="1">
      <c r="B142" s="181"/>
      <c r="C142" s="181"/>
      <c r="D142" s="181"/>
      <c r="E142" s="181"/>
      <c r="F142" s="181"/>
      <c r="G142" s="181"/>
      <c r="H142" s="181"/>
      <c r="J142" s="181"/>
      <c r="K142" s="181"/>
      <c r="L142" s="181"/>
      <c r="M142" s="181"/>
    </row>
    <row r="143" spans="2:13" s="267" customFormat="1" hidden="1">
      <c r="B143" s="181"/>
      <c r="C143" s="181"/>
      <c r="D143" s="181"/>
      <c r="E143" s="181"/>
      <c r="F143" s="181"/>
      <c r="G143" s="181"/>
      <c r="H143" s="181"/>
      <c r="J143" s="181"/>
      <c r="K143" s="181"/>
      <c r="L143" s="181"/>
      <c r="M143" s="181"/>
    </row>
    <row r="144" spans="2:13" s="267" customFormat="1" hidden="1">
      <c r="B144" s="181"/>
      <c r="C144" s="181"/>
      <c r="D144" s="181"/>
      <c r="E144" s="181"/>
      <c r="F144" s="181"/>
      <c r="G144" s="181"/>
      <c r="H144" s="181"/>
      <c r="J144" s="181"/>
      <c r="K144" s="181"/>
      <c r="L144" s="181"/>
      <c r="M144" s="181"/>
    </row>
    <row r="145" hidden="1"/>
    <row r="146" hidden="1"/>
    <row r="147" hidden="1"/>
    <row r="148" hidden="1"/>
    <row r="149" hidden="1"/>
    <row r="150" hidden="1"/>
  </sheetData>
  <pageMargins left="0.7" right="0.7" top="0.75" bottom="0.75" header="0.3" footer="0.3"/>
  <pageSetup paperSize="9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J113"/>
  <sheetViews>
    <sheetView showGridLines="0" workbookViewId="0"/>
  </sheetViews>
  <sheetFormatPr defaultColWidth="0" defaultRowHeight="15" zeroHeight="1"/>
  <cols>
    <col min="1" max="1" width="3.7109375" style="75" customWidth="1"/>
    <col min="2" max="2" width="8.28515625" style="75" customWidth="1"/>
    <col min="3" max="3" width="8.42578125" style="75" customWidth="1"/>
    <col min="4" max="4" width="10.7109375" style="75" customWidth="1"/>
    <col min="5" max="5" width="56.85546875" style="75" customWidth="1"/>
    <col min="6" max="7" width="10.7109375" style="75" customWidth="1"/>
    <col min="8" max="8" width="12.85546875" style="75" customWidth="1"/>
    <col min="9" max="9" width="11.7109375" style="75" customWidth="1"/>
    <col min="10" max="10" width="3.7109375" style="75" customWidth="1"/>
    <col min="11" max="36" width="0" style="75" hidden="1" customWidth="1"/>
    <col min="37" max="16384" width="9.140625" style="75" hidden="1"/>
  </cols>
  <sheetData>
    <row r="1" spans="1:10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23.25">
      <c r="A2" s="1"/>
      <c r="B2" s="131" t="str">
        <f>Company_Name</f>
        <v>BorgWarner Inc. (BWA)</v>
      </c>
      <c r="C2" s="2"/>
      <c r="D2" s="2"/>
      <c r="E2" s="2"/>
      <c r="F2" s="2"/>
      <c r="G2" s="2"/>
      <c r="H2" s="2"/>
      <c r="I2" s="2"/>
      <c r="J2" s="1"/>
    </row>
    <row r="3" spans="1:10" ht="16.5" thickBot="1">
      <c r="A3" s="1"/>
      <c r="B3" s="351" t="s">
        <v>228</v>
      </c>
      <c r="C3" s="2"/>
      <c r="D3" s="108"/>
      <c r="E3" s="108"/>
      <c r="F3" s="352" t="s">
        <v>3</v>
      </c>
      <c r="G3" s="352"/>
      <c r="H3" s="2"/>
      <c r="I3" s="2"/>
      <c r="J3" s="1"/>
    </row>
    <row r="4" spans="1:10">
      <c r="A4" s="1"/>
      <c r="B4" s="134" t="str">
        <f>Currency</f>
        <v>(expressed in millions)</v>
      </c>
      <c r="C4" s="2"/>
      <c r="D4" s="125"/>
      <c r="E4" s="125"/>
      <c r="F4" s="93">
        <v>43435</v>
      </c>
      <c r="G4" s="93">
        <v>43800</v>
      </c>
      <c r="H4" s="93">
        <v>44166</v>
      </c>
      <c r="I4" s="93">
        <v>44531</v>
      </c>
      <c r="J4" s="1"/>
    </row>
    <row r="5" spans="1:10">
      <c r="A5" s="1"/>
      <c r="H5" s="57"/>
      <c r="I5" s="57"/>
      <c r="J5" s="1"/>
    </row>
    <row r="6" spans="1:10">
      <c r="A6" s="1"/>
      <c r="H6" s="57"/>
      <c r="I6" s="57"/>
      <c r="J6" s="1"/>
    </row>
    <row r="7" spans="1:10">
      <c r="A7" s="1"/>
      <c r="H7" s="57"/>
      <c r="I7" s="57"/>
      <c r="J7" s="1"/>
    </row>
    <row r="8" spans="1:10" ht="15.75">
      <c r="A8" s="1"/>
      <c r="E8" s="335"/>
      <c r="F8" s="16"/>
      <c r="G8" s="16"/>
      <c r="H8" s="57"/>
      <c r="I8" s="57"/>
      <c r="J8" s="1"/>
    </row>
    <row r="9" spans="1:10" ht="18.75">
      <c r="A9" s="1"/>
      <c r="E9" s="336" t="s">
        <v>170</v>
      </c>
      <c r="F9" s="337"/>
      <c r="G9" s="337"/>
      <c r="H9" s="57"/>
      <c r="I9" s="57"/>
      <c r="J9" s="1"/>
    </row>
    <row r="10" spans="1:10" ht="18.75">
      <c r="A10" s="1"/>
      <c r="E10" s="337" t="s">
        <v>171</v>
      </c>
      <c r="F10" s="337">
        <v>33</v>
      </c>
      <c r="G10" s="337">
        <v>34</v>
      </c>
      <c r="H10" s="97">
        <f>+AVERAGE(F10:G10)</f>
        <v>33.5</v>
      </c>
      <c r="I10" s="97">
        <f>+AVERAGE(G10:H10)</f>
        <v>33.75</v>
      </c>
      <c r="J10" s="1"/>
    </row>
    <row r="11" spans="1:10" ht="18.75">
      <c r="A11" s="1"/>
      <c r="E11" s="337"/>
      <c r="F11" s="337"/>
      <c r="G11" s="337"/>
      <c r="H11" s="57"/>
      <c r="I11" s="57"/>
      <c r="J11" s="1"/>
    </row>
    <row r="12" spans="1:10" ht="18.75">
      <c r="A12" s="1"/>
      <c r="E12" s="336" t="s">
        <v>95</v>
      </c>
      <c r="F12" s="337"/>
      <c r="G12" s="337"/>
      <c r="H12" s="57"/>
      <c r="I12" s="57"/>
      <c r="J12" s="1"/>
    </row>
    <row r="13" spans="1:10" ht="18.75">
      <c r="A13" s="1"/>
      <c r="D13" s="112" t="s">
        <v>180</v>
      </c>
      <c r="E13" s="337" t="s">
        <v>181</v>
      </c>
      <c r="F13" s="337"/>
      <c r="G13" s="337"/>
      <c r="H13" s="57"/>
      <c r="I13" s="57"/>
      <c r="J13" s="1"/>
    </row>
    <row r="14" spans="1:10" ht="18.75">
      <c r="A14" s="1"/>
      <c r="D14" s="112"/>
      <c r="E14" s="337"/>
      <c r="F14" s="337"/>
      <c r="G14" s="337"/>
      <c r="H14" s="57"/>
      <c r="I14" s="57"/>
      <c r="J14" s="1"/>
    </row>
    <row r="15" spans="1:10" ht="18.75">
      <c r="A15" s="1"/>
      <c r="E15" s="337" t="s">
        <v>182</v>
      </c>
      <c r="F15" s="337"/>
      <c r="G15" s="337"/>
      <c r="H15" s="57"/>
      <c r="I15" s="57"/>
      <c r="J15" s="1"/>
    </row>
    <row r="16" spans="1:10" ht="19.5" thickBot="1">
      <c r="A16" s="1"/>
      <c r="D16" s="113"/>
      <c r="E16" s="338" t="s">
        <v>183</v>
      </c>
      <c r="F16" s="338"/>
      <c r="G16" s="338"/>
      <c r="H16" s="57"/>
      <c r="I16" s="57"/>
      <c r="J16" s="1"/>
    </row>
    <row r="17" spans="1:10" ht="18.75">
      <c r="A17" s="1"/>
      <c r="E17" s="337" t="s">
        <v>184</v>
      </c>
      <c r="F17" s="337">
        <v>135</v>
      </c>
      <c r="G17" s="337"/>
      <c r="H17" s="57"/>
      <c r="I17" s="57"/>
      <c r="J17" s="1"/>
    </row>
    <row r="18" spans="1:10" ht="18.75">
      <c r="A18" s="1"/>
      <c r="E18" s="337"/>
      <c r="F18" s="337"/>
      <c r="G18" s="337"/>
      <c r="H18" s="57"/>
      <c r="I18" s="57"/>
      <c r="J18" s="1"/>
    </row>
    <row r="19" spans="1:10" ht="18.75">
      <c r="A19" s="1"/>
      <c r="E19" s="337" t="s">
        <v>185</v>
      </c>
      <c r="F19" s="337"/>
      <c r="G19" s="337"/>
      <c r="H19" s="57"/>
      <c r="I19" s="57"/>
      <c r="J19" s="1"/>
    </row>
    <row r="20" spans="1:10" ht="18.75">
      <c r="A20" s="1"/>
      <c r="D20" s="112"/>
      <c r="E20" s="337"/>
      <c r="F20" s="337"/>
      <c r="G20" s="337"/>
      <c r="H20" s="57"/>
      <c r="I20" s="57"/>
      <c r="J20" s="1"/>
    </row>
    <row r="21" spans="1:10" ht="18.75">
      <c r="A21" s="1"/>
      <c r="D21" s="112">
        <v>4.6249999999999999E-2</v>
      </c>
      <c r="E21" s="337" t="s">
        <v>186</v>
      </c>
      <c r="F21" s="76"/>
      <c r="G21" s="76"/>
      <c r="H21" s="57"/>
      <c r="I21" s="57"/>
      <c r="J21" s="1"/>
    </row>
    <row r="22" spans="1:10" ht="18.75">
      <c r="A22" s="1"/>
      <c r="E22" s="337" t="s">
        <v>182</v>
      </c>
      <c r="F22" s="337"/>
      <c r="G22" s="337">
        <f t="shared" ref="G22:I22" si="0">+F24</f>
        <v>251</v>
      </c>
      <c r="H22" s="57">
        <f t="shared" si="0"/>
        <v>251</v>
      </c>
      <c r="I22" s="57">
        <f t="shared" si="0"/>
        <v>251</v>
      </c>
      <c r="J22" s="1"/>
    </row>
    <row r="23" spans="1:10" ht="19.5" thickBot="1">
      <c r="A23" s="1"/>
      <c r="D23" s="113"/>
      <c r="E23" s="338" t="s">
        <v>183</v>
      </c>
      <c r="F23" s="338"/>
      <c r="G23" s="338">
        <f>+G24-G22</f>
        <v>0</v>
      </c>
      <c r="H23" s="57">
        <v>0</v>
      </c>
      <c r="I23" s="57">
        <v>0</v>
      </c>
      <c r="J23" s="1"/>
    </row>
    <row r="24" spans="1:10" ht="18.75">
      <c r="A24" s="1"/>
      <c r="E24" s="337" t="s">
        <v>184</v>
      </c>
      <c r="F24" s="337">
        <v>251</v>
      </c>
      <c r="G24" s="337">
        <v>251</v>
      </c>
      <c r="H24" s="57">
        <f>SUM(H22:H23)</f>
        <v>251</v>
      </c>
      <c r="I24" s="57">
        <f>SUM(I22:I23)</f>
        <v>251</v>
      </c>
      <c r="J24" s="1"/>
    </row>
    <row r="25" spans="1:10" ht="18.75">
      <c r="A25" s="1"/>
      <c r="E25" s="337"/>
      <c r="F25" s="337"/>
      <c r="G25" s="337"/>
      <c r="H25" s="57"/>
      <c r="I25" s="57"/>
      <c r="J25" s="1"/>
    </row>
    <row r="26" spans="1:10" ht="18.75">
      <c r="A26" s="1"/>
      <c r="E26" s="337" t="s">
        <v>185</v>
      </c>
      <c r="F26" s="339">
        <f>+F24*$D21</f>
        <v>11.608750000000001</v>
      </c>
      <c r="G26" s="339">
        <f t="shared" ref="G26:I26" si="1">+G24*$D21</f>
        <v>11.608750000000001</v>
      </c>
      <c r="H26" s="114">
        <f t="shared" si="1"/>
        <v>11.608750000000001</v>
      </c>
      <c r="I26" s="114">
        <f t="shared" si="1"/>
        <v>11.608750000000001</v>
      </c>
      <c r="J26" s="1"/>
    </row>
    <row r="27" spans="1:10" ht="18.75">
      <c r="A27" s="1"/>
      <c r="D27" s="112"/>
      <c r="E27" s="337"/>
      <c r="F27" s="337"/>
      <c r="G27" s="337"/>
      <c r="H27" s="57"/>
      <c r="I27" s="57"/>
      <c r="J27" s="1"/>
    </row>
    <row r="28" spans="1:10" ht="18.75">
      <c r="A28" s="1"/>
      <c r="D28" s="112">
        <v>1.7999999999999999E-2</v>
      </c>
      <c r="E28" s="337" t="s">
        <v>187</v>
      </c>
      <c r="F28" s="337"/>
      <c r="G28" s="337"/>
      <c r="H28" s="57"/>
      <c r="I28" s="57"/>
      <c r="J28" s="1"/>
    </row>
    <row r="29" spans="1:10" ht="18.75">
      <c r="A29" s="1"/>
      <c r="D29" s="112"/>
      <c r="E29" s="337"/>
      <c r="F29" s="337"/>
      <c r="G29" s="337"/>
      <c r="H29" s="57"/>
      <c r="I29" s="57"/>
      <c r="J29" s="1"/>
    </row>
    <row r="30" spans="1:10" ht="18.75">
      <c r="A30" s="1"/>
      <c r="E30" s="337" t="s">
        <v>182</v>
      </c>
      <c r="F30" s="337"/>
      <c r="G30" s="337">
        <f t="shared" ref="G30:I30" si="2">+F32</f>
        <v>570</v>
      </c>
      <c r="H30" s="57">
        <f t="shared" si="2"/>
        <v>558</v>
      </c>
      <c r="I30" s="57">
        <f t="shared" si="2"/>
        <v>548</v>
      </c>
      <c r="J30" s="1"/>
    </row>
    <row r="31" spans="1:10" ht="19.5" thickBot="1">
      <c r="A31" s="1"/>
      <c r="D31" s="113"/>
      <c r="E31" s="338" t="s">
        <v>183</v>
      </c>
      <c r="F31" s="338"/>
      <c r="G31" s="338">
        <f>+G32-G30</f>
        <v>-12</v>
      </c>
      <c r="H31" s="104">
        <v>-10</v>
      </c>
      <c r="I31" s="104">
        <v>-10</v>
      </c>
      <c r="J31" s="1"/>
    </row>
    <row r="32" spans="1:10" ht="18.75">
      <c r="A32" s="1"/>
      <c r="E32" s="337" t="s">
        <v>184</v>
      </c>
      <c r="F32" s="337">
        <v>570</v>
      </c>
      <c r="G32" s="337">
        <v>558</v>
      </c>
      <c r="H32" s="57">
        <f>SUM(H30:H31)</f>
        <v>548</v>
      </c>
      <c r="I32" s="57">
        <f>SUM(I30:I31)</f>
        <v>538</v>
      </c>
      <c r="J32" s="1"/>
    </row>
    <row r="33" spans="1:10" ht="18.75">
      <c r="A33" s="1"/>
      <c r="E33" s="337"/>
      <c r="F33" s="337"/>
      <c r="G33" s="337"/>
      <c r="H33" s="57"/>
      <c r="I33" s="57"/>
      <c r="J33" s="1"/>
    </row>
    <row r="34" spans="1:10" ht="18.75">
      <c r="A34" s="1"/>
      <c r="E34" s="337" t="s">
        <v>185</v>
      </c>
      <c r="F34" s="339">
        <f t="shared" ref="F34:I34" si="3">+F32*$D28</f>
        <v>10.26</v>
      </c>
      <c r="G34" s="339">
        <f t="shared" si="3"/>
        <v>10.043999999999999</v>
      </c>
      <c r="H34" s="114">
        <f t="shared" si="3"/>
        <v>9.863999999999999</v>
      </c>
      <c r="I34" s="114">
        <f t="shared" si="3"/>
        <v>9.6839999999999993</v>
      </c>
      <c r="J34" s="1"/>
    </row>
    <row r="35" spans="1:10" ht="18.75">
      <c r="A35" s="1"/>
      <c r="E35" s="337"/>
      <c r="F35" s="337"/>
      <c r="G35" s="337"/>
      <c r="H35" s="57"/>
      <c r="I35" s="57"/>
      <c r="J35" s="1"/>
    </row>
    <row r="36" spans="1:10" ht="18.75">
      <c r="A36" s="1"/>
      <c r="D36" s="112">
        <v>3.3750000000000002E-2</v>
      </c>
      <c r="E36" s="337" t="s">
        <v>188</v>
      </c>
      <c r="F36" s="76"/>
      <c r="G36" s="76"/>
      <c r="H36" s="57"/>
      <c r="I36" s="57"/>
      <c r="J36" s="1"/>
    </row>
    <row r="37" spans="1:10" ht="18.75">
      <c r="A37" s="1"/>
      <c r="D37" s="112"/>
      <c r="E37" s="337"/>
      <c r="F37" s="337"/>
      <c r="G37" s="337"/>
      <c r="H37" s="57"/>
      <c r="I37" s="57"/>
      <c r="J37" s="1"/>
    </row>
    <row r="38" spans="1:10" ht="18.75">
      <c r="A38" s="1"/>
      <c r="E38" s="337" t="s">
        <v>182</v>
      </c>
      <c r="F38" s="337"/>
      <c r="G38" s="337">
        <f t="shared" ref="G38:I38" si="4">+F40</f>
        <v>497</v>
      </c>
      <c r="H38" s="57">
        <f t="shared" si="4"/>
        <v>497</v>
      </c>
      <c r="I38" s="57">
        <f t="shared" si="4"/>
        <v>497</v>
      </c>
      <c r="J38" s="1"/>
    </row>
    <row r="39" spans="1:10" ht="19.5" thickBot="1">
      <c r="A39" s="1"/>
      <c r="D39" s="113"/>
      <c r="E39" s="338" t="s">
        <v>183</v>
      </c>
      <c r="F39" s="338"/>
      <c r="G39" s="338">
        <f>+G40-G38</f>
        <v>0</v>
      </c>
      <c r="H39" s="104">
        <v>0</v>
      </c>
      <c r="I39" s="104"/>
      <c r="J39" s="1"/>
    </row>
    <row r="40" spans="1:10" ht="18.75">
      <c r="A40" s="1"/>
      <c r="E40" s="337" t="s">
        <v>184</v>
      </c>
      <c r="F40" s="337">
        <v>497</v>
      </c>
      <c r="G40" s="337">
        <v>497</v>
      </c>
      <c r="H40" s="57">
        <f>SUM(H38:H39)</f>
        <v>497</v>
      </c>
      <c r="I40" s="57">
        <f>SUM(I38:I39)</f>
        <v>497</v>
      </c>
      <c r="J40" s="1"/>
    </row>
    <row r="41" spans="1:10" ht="18.75">
      <c r="A41" s="1"/>
      <c r="E41" s="337"/>
      <c r="F41" s="337"/>
      <c r="G41" s="337"/>
      <c r="H41" s="57"/>
      <c r="I41" s="57"/>
      <c r="J41" s="1"/>
    </row>
    <row r="42" spans="1:10" ht="18.75">
      <c r="A42" s="1"/>
      <c r="E42" s="337" t="s">
        <v>185</v>
      </c>
      <c r="F42" s="339">
        <f t="shared" ref="F42:I42" si="5">+F40*$D36</f>
        <v>16.77375</v>
      </c>
      <c r="G42" s="340">
        <f t="shared" si="5"/>
        <v>16.77375</v>
      </c>
      <c r="H42" s="114">
        <f t="shared" si="5"/>
        <v>16.77375</v>
      </c>
      <c r="I42" s="114">
        <f t="shared" si="5"/>
        <v>16.77375</v>
      </c>
      <c r="J42" s="1"/>
    </row>
    <row r="43" spans="1:10" ht="18.75">
      <c r="A43" s="1"/>
      <c r="E43" s="337"/>
      <c r="F43" s="337"/>
      <c r="G43" s="337"/>
      <c r="H43" s="57"/>
      <c r="I43" s="57"/>
      <c r="J43" s="1"/>
    </row>
    <row r="44" spans="1:10" ht="18.75">
      <c r="A44" s="1"/>
      <c r="D44" s="112">
        <v>7.1249999999999994E-2</v>
      </c>
      <c r="E44" s="337" t="s">
        <v>189</v>
      </c>
      <c r="F44" s="337"/>
      <c r="G44" s="337"/>
      <c r="H44" s="57"/>
      <c r="I44" s="57"/>
      <c r="J44" s="1"/>
    </row>
    <row r="45" spans="1:10" ht="18.75">
      <c r="A45" s="1"/>
      <c r="D45" s="112"/>
      <c r="E45" s="337"/>
      <c r="F45" s="337"/>
      <c r="G45" s="337"/>
      <c r="H45" s="57"/>
      <c r="I45" s="57"/>
      <c r="J45" s="1"/>
    </row>
    <row r="46" spans="1:10" ht="18.75">
      <c r="A46" s="1"/>
      <c r="E46" s="337" t="s">
        <v>182</v>
      </c>
      <c r="F46" s="337"/>
      <c r="G46" s="337">
        <f t="shared" ref="G46:I46" si="6">+F48</f>
        <v>119</v>
      </c>
      <c r="H46" s="57">
        <f t="shared" si="6"/>
        <v>119</v>
      </c>
      <c r="I46" s="57">
        <f t="shared" si="6"/>
        <v>119</v>
      </c>
      <c r="J46" s="1"/>
    </row>
    <row r="47" spans="1:10" ht="19.5" thickBot="1">
      <c r="A47" s="1"/>
      <c r="D47" s="113"/>
      <c r="E47" s="338" t="s">
        <v>183</v>
      </c>
      <c r="F47" s="338"/>
      <c r="G47" s="338">
        <f>+G48-G46</f>
        <v>0</v>
      </c>
      <c r="H47" s="104">
        <v>0</v>
      </c>
      <c r="I47" s="104">
        <v>0</v>
      </c>
      <c r="J47" s="1"/>
    </row>
    <row r="48" spans="1:10" ht="18.75">
      <c r="A48" s="1"/>
      <c r="E48" s="337" t="s">
        <v>184</v>
      </c>
      <c r="F48" s="337">
        <v>119</v>
      </c>
      <c r="G48" s="337">
        <v>119</v>
      </c>
      <c r="H48" s="57">
        <f>SUM(H46:H47)</f>
        <v>119</v>
      </c>
      <c r="I48" s="57">
        <f>SUM(I46:I47)</f>
        <v>119</v>
      </c>
      <c r="J48" s="1"/>
    </row>
    <row r="49" spans="1:10" ht="18.75">
      <c r="A49" s="1"/>
      <c r="E49" s="337"/>
      <c r="F49" s="337"/>
      <c r="G49" s="337"/>
      <c r="H49" s="57"/>
      <c r="I49" s="57"/>
      <c r="J49" s="1"/>
    </row>
    <row r="50" spans="1:10" ht="18.75">
      <c r="A50" s="1"/>
      <c r="E50" s="337" t="s">
        <v>185</v>
      </c>
      <c r="F50" s="340">
        <f t="shared" ref="F50:I50" si="7">+F48*$D44</f>
        <v>8.4787499999999998</v>
      </c>
      <c r="G50" s="340">
        <f t="shared" si="7"/>
        <v>8.4787499999999998</v>
      </c>
      <c r="H50" s="114">
        <f t="shared" si="7"/>
        <v>8.4787499999999998</v>
      </c>
      <c r="I50" s="114">
        <f t="shared" si="7"/>
        <v>8.4787499999999998</v>
      </c>
      <c r="J50" s="1"/>
    </row>
    <row r="51" spans="1:10" ht="18.75">
      <c r="A51" s="1"/>
      <c r="D51" s="112"/>
      <c r="E51" s="337"/>
      <c r="F51" s="337"/>
      <c r="G51" s="337"/>
      <c r="H51" s="57"/>
      <c r="I51" s="57"/>
      <c r="J51" s="1"/>
    </row>
    <row r="52" spans="1:10" ht="18.75">
      <c r="A52" s="1"/>
      <c r="D52" s="112">
        <v>4.3749999999999997E-2</v>
      </c>
      <c r="E52" s="337" t="s">
        <v>190</v>
      </c>
      <c r="F52" s="76"/>
      <c r="G52" s="76"/>
      <c r="H52" s="57"/>
      <c r="I52" s="57"/>
      <c r="J52" s="1"/>
    </row>
    <row r="53" spans="1:10" ht="18.75">
      <c r="A53" s="1"/>
      <c r="D53" s="112"/>
      <c r="E53" s="337"/>
      <c r="F53" s="337"/>
      <c r="G53" s="337"/>
      <c r="H53" s="57"/>
      <c r="I53" s="57"/>
      <c r="J53" s="1"/>
    </row>
    <row r="54" spans="1:10" ht="18.75">
      <c r="A54" s="1"/>
      <c r="E54" s="337" t="s">
        <v>182</v>
      </c>
      <c r="F54" s="337"/>
      <c r="G54" s="337">
        <f t="shared" ref="G54:I54" si="8">+F56</f>
        <v>494</v>
      </c>
      <c r="H54" s="57">
        <f t="shared" si="8"/>
        <v>494</v>
      </c>
      <c r="I54" s="57">
        <f t="shared" si="8"/>
        <v>494</v>
      </c>
      <c r="J54" s="1"/>
    </row>
    <row r="55" spans="1:10" ht="19.5" thickBot="1">
      <c r="A55" s="1"/>
      <c r="D55" s="113"/>
      <c r="E55" s="338" t="s">
        <v>183</v>
      </c>
      <c r="F55" s="338"/>
      <c r="G55" s="338">
        <f>+G56-G54</f>
        <v>0</v>
      </c>
      <c r="H55" s="104">
        <v>0</v>
      </c>
      <c r="I55" s="104">
        <v>0</v>
      </c>
      <c r="J55" s="1"/>
    </row>
    <row r="56" spans="1:10" ht="18.75">
      <c r="A56" s="1"/>
      <c r="E56" s="337" t="s">
        <v>184</v>
      </c>
      <c r="F56" s="337">
        <v>494</v>
      </c>
      <c r="G56" s="337">
        <v>494</v>
      </c>
      <c r="H56" s="57">
        <f>SUM(H54:H55)</f>
        <v>494</v>
      </c>
      <c r="I56" s="57">
        <f>SUM(I54:I55)</f>
        <v>494</v>
      </c>
      <c r="J56" s="1"/>
    </row>
    <row r="57" spans="1:10" ht="18.75">
      <c r="A57" s="1"/>
      <c r="E57" s="337"/>
      <c r="F57" s="337"/>
      <c r="G57" s="337"/>
      <c r="H57" s="57"/>
      <c r="I57" s="57"/>
      <c r="J57" s="1"/>
    </row>
    <row r="58" spans="1:10" ht="18.75">
      <c r="A58" s="1"/>
      <c r="E58" s="337" t="s">
        <v>185</v>
      </c>
      <c r="F58" s="340">
        <f t="shared" ref="F58:I58" si="9">+F56*$D52</f>
        <v>21.612499999999997</v>
      </c>
      <c r="G58" s="340">
        <f t="shared" si="9"/>
        <v>21.612499999999997</v>
      </c>
      <c r="H58" s="114">
        <f t="shared" si="9"/>
        <v>21.612499999999997</v>
      </c>
      <c r="I58" s="114">
        <f t="shared" si="9"/>
        <v>21.612499999999997</v>
      </c>
      <c r="J58" s="1"/>
    </row>
    <row r="59" spans="1:10" ht="18.75">
      <c r="A59" s="1"/>
      <c r="D59" s="112"/>
      <c r="E59" s="337"/>
      <c r="F59" s="337"/>
      <c r="G59" s="337"/>
      <c r="H59" s="57"/>
      <c r="I59" s="57"/>
      <c r="J59" s="1"/>
    </row>
    <row r="60" spans="1:10" ht="18.75">
      <c r="A60" s="1"/>
      <c r="D60" s="112"/>
      <c r="E60" s="337"/>
      <c r="F60" s="337"/>
      <c r="G60" s="337"/>
      <c r="H60" s="57"/>
      <c r="I60" s="57"/>
      <c r="J60" s="1"/>
    </row>
    <row r="61" spans="1:10" ht="18.75">
      <c r="A61" s="1"/>
      <c r="E61" s="337" t="s">
        <v>172</v>
      </c>
      <c r="F61" s="337">
        <v>15</v>
      </c>
      <c r="G61" s="337">
        <v>7</v>
      </c>
      <c r="H61" s="57">
        <f>+AVERAGE(F61:G61)</f>
        <v>11</v>
      </c>
      <c r="I61" s="57">
        <f>+AVERAGE(G61:H61)</f>
        <v>9</v>
      </c>
      <c r="J61" s="1"/>
    </row>
    <row r="62" spans="1:10" ht="18.75">
      <c r="A62" s="1"/>
      <c r="E62" s="337"/>
      <c r="F62" s="337"/>
      <c r="G62" s="337"/>
      <c r="H62" s="57"/>
      <c r="I62" s="57"/>
      <c r="J62" s="1"/>
    </row>
    <row r="63" spans="1:10" ht="19.5" thickBot="1">
      <c r="A63" s="1"/>
      <c r="E63" s="337"/>
      <c r="F63" s="337"/>
      <c r="G63" s="338"/>
      <c r="H63" s="104"/>
      <c r="I63" s="104"/>
      <c r="J63" s="1"/>
    </row>
    <row r="64" spans="1:10" ht="18.75">
      <c r="A64" s="1"/>
      <c r="E64" s="337" t="s">
        <v>173</v>
      </c>
      <c r="F64" s="341">
        <f>+F61+F56+F48+F40+F32+F24+F17</f>
        <v>2081</v>
      </c>
      <c r="G64" s="342">
        <f>+G61+G56+G48+G40+G32+G24+G17</f>
        <v>1926</v>
      </c>
      <c r="H64" s="57">
        <f>+H61+H56+H48+H40+H32+H24+H17</f>
        <v>1920</v>
      </c>
      <c r="I64" s="57">
        <f>+I61+I56+I48+I40+I32+I24+I17</f>
        <v>1908</v>
      </c>
      <c r="J64" s="1"/>
    </row>
    <row r="65" spans="1:10" ht="18.75">
      <c r="A65" s="1"/>
      <c r="E65" s="337"/>
      <c r="F65" s="342"/>
      <c r="G65" s="342"/>
      <c r="H65" s="57"/>
      <c r="I65" s="57"/>
      <c r="J65" s="1"/>
    </row>
    <row r="66" spans="1:10" ht="18.75">
      <c r="A66" s="1"/>
      <c r="E66" s="337"/>
      <c r="F66" s="342"/>
      <c r="G66" s="342"/>
      <c r="H66" s="57"/>
      <c r="I66" s="57"/>
      <c r="J66" s="1"/>
    </row>
    <row r="67" spans="1:10" ht="18.75">
      <c r="A67" s="1"/>
      <c r="E67" s="337"/>
      <c r="F67" s="342"/>
      <c r="G67" s="342"/>
      <c r="H67" s="57"/>
      <c r="I67" s="57"/>
      <c r="J67" s="1"/>
    </row>
    <row r="68" spans="1:10" ht="18.75">
      <c r="A68" s="1"/>
      <c r="E68" s="337"/>
      <c r="F68" s="342"/>
      <c r="G68" s="342"/>
      <c r="H68" s="57"/>
      <c r="I68" s="57"/>
      <c r="J68" s="1"/>
    </row>
    <row r="69" spans="1:10" ht="18.75">
      <c r="A69" s="1"/>
      <c r="E69" s="337"/>
      <c r="F69" s="342"/>
      <c r="G69" s="342"/>
      <c r="H69" s="57"/>
      <c r="I69" s="57"/>
      <c r="J69" s="1"/>
    </row>
    <row r="70" spans="1:10" ht="18.75">
      <c r="A70" s="1"/>
      <c r="E70" s="337" t="s">
        <v>174</v>
      </c>
      <c r="F70" s="337">
        <v>140</v>
      </c>
      <c r="G70" s="337">
        <v>252</v>
      </c>
      <c r="H70" s="97">
        <f>+H64*H71</f>
        <v>190.19181109010316</v>
      </c>
      <c r="I70" s="97">
        <f>+I64*I71</f>
        <v>219.32398604193705</v>
      </c>
      <c r="J70" s="1"/>
    </row>
    <row r="71" spans="1:10" ht="18.75">
      <c r="A71" s="1"/>
      <c r="E71" s="337" t="s">
        <v>191</v>
      </c>
      <c r="F71" s="343">
        <f>+F70/F64</f>
        <v>6.7275348390197026E-2</v>
      </c>
      <c r="G71" s="343">
        <f>+G70/G64</f>
        <v>0.13084112149532709</v>
      </c>
      <c r="H71" s="107">
        <f>+AVERAGE(F71:G71)</f>
        <v>9.9058234942762058E-2</v>
      </c>
      <c r="I71" s="107">
        <f>+AVERAGE(G71:H71)</f>
        <v>0.11494967821904457</v>
      </c>
      <c r="J71" s="1"/>
    </row>
    <row r="72" spans="1:10" ht="18.75">
      <c r="A72" s="1"/>
      <c r="E72" s="337"/>
      <c r="F72" s="337"/>
      <c r="G72" s="337"/>
      <c r="H72" s="57"/>
      <c r="I72" s="57"/>
      <c r="J72" s="1"/>
    </row>
    <row r="73" spans="1:10" ht="19.5" thickBot="1">
      <c r="A73" s="1"/>
      <c r="E73" s="337"/>
      <c r="F73" s="337"/>
      <c r="G73" s="338"/>
      <c r="H73" s="104"/>
      <c r="I73" s="104"/>
      <c r="J73" s="1"/>
    </row>
    <row r="74" spans="1:10" ht="18.75">
      <c r="A74" s="1"/>
      <c r="E74" s="344" t="s">
        <v>175</v>
      </c>
      <c r="F74" s="345">
        <v>1941</v>
      </c>
      <c r="G74" s="346">
        <f t="shared" ref="G74:I74" si="10">+G64-G70</f>
        <v>1674</v>
      </c>
      <c r="H74" s="103">
        <f t="shared" si="10"/>
        <v>1729.8081889098969</v>
      </c>
      <c r="I74" s="103">
        <f t="shared" si="10"/>
        <v>1688.6760139580629</v>
      </c>
      <c r="J74" s="1"/>
    </row>
    <row r="75" spans="1:10">
      <c r="A75" s="1"/>
      <c r="E75" s="76"/>
      <c r="F75" s="76"/>
      <c r="G75" s="76"/>
      <c r="H75" s="57"/>
      <c r="I75" s="57"/>
      <c r="J75" s="1"/>
    </row>
    <row r="76" spans="1:10">
      <c r="A76" s="1"/>
      <c r="E76" s="76"/>
      <c r="F76" s="76"/>
      <c r="G76" s="76"/>
      <c r="H76" s="57"/>
      <c r="I76" s="57"/>
      <c r="J76" s="1"/>
    </row>
    <row r="77" spans="1:10">
      <c r="A77" s="1"/>
      <c r="E77" s="76"/>
      <c r="F77" s="76"/>
      <c r="G77" s="76"/>
      <c r="H77" s="57"/>
      <c r="I77" s="57"/>
      <c r="J77" s="1"/>
    </row>
    <row r="78" spans="1:10">
      <c r="A78" s="1"/>
      <c r="E78" s="76"/>
      <c r="F78" s="76"/>
      <c r="G78" s="76"/>
      <c r="H78" s="57"/>
      <c r="I78" s="57"/>
      <c r="J78" s="1"/>
    </row>
    <row r="79" spans="1:10">
      <c r="A79" s="1"/>
      <c r="E79" s="347" t="s">
        <v>192</v>
      </c>
      <c r="F79" s="348">
        <f t="shared" ref="F79:I79" si="11">+F58++F50+F42+F34+F26+F19</f>
        <v>68.733749999999986</v>
      </c>
      <c r="G79" s="348">
        <f t="shared" si="11"/>
        <v>68.517749999999992</v>
      </c>
      <c r="H79" s="115">
        <f t="shared" si="11"/>
        <v>68.33775</v>
      </c>
      <c r="I79" s="115">
        <f t="shared" si="11"/>
        <v>68.157749999999993</v>
      </c>
      <c r="J79" s="1"/>
    </row>
    <row r="80" spans="1:10">
      <c r="A80" s="1"/>
      <c r="E80" s="347" t="s">
        <v>193</v>
      </c>
      <c r="F80" s="347">
        <f t="shared" ref="F80:I80" si="12">+F55+F47+F39+F31+F23+F16</f>
        <v>0</v>
      </c>
      <c r="G80" s="347">
        <f t="shared" si="12"/>
        <v>-12</v>
      </c>
      <c r="H80" s="94">
        <f t="shared" si="12"/>
        <v>-10</v>
      </c>
      <c r="I80" s="94">
        <f t="shared" si="12"/>
        <v>-10</v>
      </c>
      <c r="J80" s="1"/>
    </row>
    <row r="81" spans="1:10">
      <c r="A81" s="1"/>
      <c r="E81" s="76"/>
      <c r="F81" s="76"/>
      <c r="G81" s="76"/>
      <c r="H81" s="57"/>
      <c r="I81" s="57"/>
      <c r="J81" s="1"/>
    </row>
    <row r="82" spans="1:10">
      <c r="A82" s="1"/>
      <c r="E82" s="76"/>
      <c r="F82" s="76"/>
      <c r="G82" s="76"/>
      <c r="H82" s="57"/>
      <c r="I82" s="57"/>
      <c r="J82" s="1"/>
    </row>
    <row r="83" spans="1:10">
      <c r="A83" s="1"/>
      <c r="E83" s="76"/>
      <c r="F83" s="76"/>
      <c r="G83" s="76"/>
      <c r="H83" s="57"/>
      <c r="I83" s="57"/>
      <c r="J83" s="1"/>
    </row>
    <row r="84" spans="1:10">
      <c r="A84" s="1"/>
      <c r="E84" s="76"/>
      <c r="F84" s="76"/>
      <c r="G84" s="76"/>
      <c r="H84" s="57"/>
      <c r="I84" s="57"/>
      <c r="J84" s="1"/>
    </row>
    <row r="85" spans="1:10">
      <c r="A85" s="1"/>
      <c r="E85" s="76"/>
      <c r="F85" s="76"/>
      <c r="G85" s="76"/>
      <c r="H85" s="57"/>
      <c r="I85" s="57"/>
      <c r="J85" s="1"/>
    </row>
    <row r="86" spans="1:10">
      <c r="A86" s="1"/>
      <c r="E86" s="76"/>
      <c r="F86" s="76"/>
      <c r="G86" s="76"/>
      <c r="H86" s="57"/>
      <c r="I86" s="57"/>
      <c r="J86" s="1"/>
    </row>
    <row r="87" spans="1:10">
      <c r="A87" s="1"/>
      <c r="H87" s="57"/>
      <c r="I87" s="57"/>
      <c r="J87" s="1"/>
    </row>
    <row r="88" spans="1:10">
      <c r="A88" s="1"/>
      <c r="H88" s="57"/>
      <c r="I88" s="57"/>
      <c r="J88" s="1"/>
    </row>
    <row r="89" spans="1:10">
      <c r="A89" s="1"/>
      <c r="H89" s="57"/>
      <c r="I89" s="57"/>
      <c r="J89" s="1"/>
    </row>
    <row r="90" spans="1:10">
      <c r="A90" s="1"/>
      <c r="H90" s="57"/>
      <c r="I90" s="57"/>
      <c r="J90" s="1"/>
    </row>
    <row r="91" spans="1:10">
      <c r="A91" s="1"/>
      <c r="H91" s="57"/>
      <c r="I91" s="57"/>
      <c r="J91" s="1"/>
    </row>
    <row r="92" spans="1:10">
      <c r="A92" s="1"/>
      <c r="H92" s="57"/>
      <c r="I92" s="57"/>
      <c r="J92" s="1"/>
    </row>
    <row r="93" spans="1:10">
      <c r="A93" s="1"/>
      <c r="H93" s="57"/>
      <c r="I93" s="57"/>
      <c r="J93" s="1"/>
    </row>
    <row r="94" spans="1:10">
      <c r="A94" s="1"/>
      <c r="H94" s="57"/>
      <c r="I94" s="57"/>
      <c r="J94" s="1"/>
    </row>
    <row r="95" spans="1:10">
      <c r="A95" s="1"/>
      <c r="H95" s="57"/>
      <c r="I95" s="57"/>
      <c r="J95" s="1"/>
    </row>
    <row r="96" spans="1:10">
      <c r="A96" s="1"/>
      <c r="H96" s="57"/>
      <c r="I96" s="57"/>
      <c r="J96" s="1"/>
    </row>
    <row r="97" spans="1:10">
      <c r="A97" s="1"/>
      <c r="H97" s="57"/>
      <c r="I97" s="57"/>
      <c r="J97" s="1"/>
    </row>
    <row r="98" spans="1:10">
      <c r="A98" s="1"/>
      <c r="H98" s="57"/>
      <c r="I98" s="57"/>
      <c r="J98" s="1"/>
    </row>
    <row r="99" spans="1:10">
      <c r="A99" s="1"/>
      <c r="H99" s="57"/>
      <c r="I99" s="57"/>
      <c r="J99" s="1"/>
    </row>
    <row r="100" spans="1:10">
      <c r="A100" s="1"/>
      <c r="H100" s="57"/>
      <c r="I100" s="57"/>
      <c r="J100" s="1"/>
    </row>
    <row r="101" spans="1:10">
      <c r="A101" s="1"/>
      <c r="H101" s="57"/>
      <c r="I101" s="57"/>
      <c r="J101" s="1"/>
    </row>
    <row r="102" spans="1:10">
      <c r="A102" s="1"/>
      <c r="H102" s="57"/>
      <c r="I102" s="57"/>
      <c r="J102" s="1"/>
    </row>
    <row r="103" spans="1:10">
      <c r="A103" s="1"/>
      <c r="H103" s="57"/>
      <c r="I103" s="57"/>
      <c r="J103" s="1"/>
    </row>
    <row r="104" spans="1:10">
      <c r="A104" s="1"/>
      <c r="H104" s="57"/>
      <c r="I104" s="57"/>
      <c r="J104" s="1"/>
    </row>
    <row r="105" spans="1:10">
      <c r="A105" s="1"/>
      <c r="H105" s="57"/>
      <c r="I105" s="57"/>
      <c r="J105" s="1"/>
    </row>
    <row r="106" spans="1:10">
      <c r="A106" s="1"/>
      <c r="H106" s="57"/>
      <c r="I106" s="57"/>
      <c r="J106" s="1"/>
    </row>
    <row r="107" spans="1:10">
      <c r="A107" s="1"/>
      <c r="H107" s="57"/>
      <c r="I107" s="57"/>
      <c r="J107" s="1"/>
    </row>
    <row r="108" spans="1:10">
      <c r="A108" s="1"/>
      <c r="H108" s="57"/>
      <c r="I108" s="57"/>
      <c r="J108" s="1"/>
    </row>
    <row r="109" spans="1:10">
      <c r="A109" s="1"/>
      <c r="H109" s="57"/>
      <c r="I109" s="57"/>
      <c r="J109" s="1"/>
    </row>
    <row r="110" spans="1:10">
      <c r="A110" s="1"/>
      <c r="H110" s="57"/>
      <c r="I110" s="57"/>
      <c r="J110" s="1"/>
    </row>
    <row r="111" spans="1:10">
      <c r="A111" s="1"/>
      <c r="H111" s="57"/>
      <c r="I111" s="57"/>
      <c r="J111" s="1"/>
    </row>
    <row r="112" spans="1:10">
      <c r="A112" s="1"/>
      <c r="H112" s="57"/>
      <c r="I112" s="57"/>
      <c r="J112" s="1"/>
    </row>
    <row r="113" spans="1:10">
      <c r="A113" s="1"/>
      <c r="H113" s="57"/>
      <c r="I113" s="57"/>
      <c r="J113" s="1"/>
    </row>
  </sheetData>
  <mergeCells count="1">
    <mergeCell ref="F3:G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8"/>
  <sheetViews>
    <sheetView showGridLines="0" topLeftCell="A21" workbookViewId="0">
      <selection activeCell="E52" sqref="E52"/>
    </sheetView>
  </sheetViews>
  <sheetFormatPr defaultRowHeight="0" customHeight="1" zeroHeight="1"/>
  <cols>
    <col min="1" max="3" width="3.7109375" customWidth="1"/>
    <col min="4" max="4" width="40.7109375" customWidth="1"/>
    <col min="5" max="20" width="10.7109375" customWidth="1"/>
    <col min="21" max="21" width="3.7109375" customWidth="1"/>
    <col min="22" max="22" width="0" hidden="1" customWidth="1"/>
    <col min="23" max="36" width="0" hidden="1"/>
  </cols>
  <sheetData>
    <row r="1" spans="1:21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1">
      <c r="A2" s="1"/>
      <c r="B2" s="5" t="str">
        <f>Company_Name</f>
        <v>BorgWarner Inc. (BWA)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"/>
    </row>
    <row r="3" spans="1:21" ht="15.75" thickBot="1">
      <c r="A3" s="1"/>
      <c r="B3" s="2"/>
      <c r="C3" s="2"/>
      <c r="D3" s="2"/>
      <c r="E3" s="2"/>
      <c r="F3" s="2"/>
      <c r="G3" s="28" t="s">
        <v>3</v>
      </c>
      <c r="H3" s="28"/>
      <c r="I3" s="28"/>
      <c r="J3" s="28"/>
      <c r="K3" s="28"/>
      <c r="L3" s="28"/>
      <c r="M3" s="2"/>
      <c r="N3" s="2"/>
      <c r="O3" s="2"/>
      <c r="P3" s="2"/>
      <c r="Q3" s="2"/>
      <c r="R3" s="2"/>
      <c r="S3" s="2"/>
      <c r="T3" s="2"/>
      <c r="U3" s="1"/>
    </row>
    <row r="4" spans="1:21" ht="15">
      <c r="A4" s="1"/>
      <c r="B4" s="2" t="str">
        <f>Currency</f>
        <v>(expressed in millions)</v>
      </c>
      <c r="C4" s="2"/>
      <c r="D4" s="2"/>
      <c r="E4" s="4">
        <f t="shared" ref="E4:J4" si="0">EDATE(F4,-3)</f>
        <v>43160</v>
      </c>
      <c r="F4" s="4">
        <f t="shared" si="0"/>
        <v>43252</v>
      </c>
      <c r="G4" s="4">
        <f t="shared" si="0"/>
        <v>43344</v>
      </c>
      <c r="H4" s="4">
        <f t="shared" si="0"/>
        <v>43435</v>
      </c>
      <c r="I4" s="4">
        <f t="shared" si="0"/>
        <v>43525</v>
      </c>
      <c r="J4" s="4">
        <f t="shared" si="0"/>
        <v>43617</v>
      </c>
      <c r="K4" s="4">
        <f>EDATE(L4,-3)</f>
        <v>43709</v>
      </c>
      <c r="L4" s="4">
        <f>LHY</f>
        <v>43800</v>
      </c>
      <c r="M4" s="3">
        <f>EDATE(L4,3)</f>
        <v>43891</v>
      </c>
      <c r="N4" s="3">
        <f t="shared" ref="N4:T4" si="1">EDATE(M4,3)</f>
        <v>43983</v>
      </c>
      <c r="O4" s="3">
        <f t="shared" si="1"/>
        <v>44075</v>
      </c>
      <c r="P4" s="3">
        <f t="shared" si="1"/>
        <v>44166</v>
      </c>
      <c r="Q4" s="3">
        <f t="shared" si="1"/>
        <v>44256</v>
      </c>
      <c r="R4" s="3">
        <f t="shared" si="1"/>
        <v>44348</v>
      </c>
      <c r="S4" s="3">
        <f t="shared" si="1"/>
        <v>44440</v>
      </c>
      <c r="T4" s="3">
        <f t="shared" si="1"/>
        <v>44531</v>
      </c>
      <c r="U4" s="1"/>
    </row>
    <row r="5" spans="1:21" ht="15">
      <c r="A5" s="1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3"/>
      <c r="N5" s="23"/>
      <c r="O5" s="23"/>
      <c r="P5" s="23"/>
      <c r="Q5" s="23"/>
      <c r="R5" s="23"/>
      <c r="S5" s="23"/>
      <c r="T5" s="23"/>
      <c r="U5" s="1"/>
    </row>
    <row r="6" spans="1:21" ht="15">
      <c r="A6" s="1"/>
      <c r="B6" s="22"/>
      <c r="C6" s="22"/>
      <c r="D6" s="46" t="s">
        <v>30</v>
      </c>
      <c r="E6" s="47"/>
      <c r="F6" s="47"/>
      <c r="G6" s="47"/>
      <c r="H6" s="47"/>
      <c r="I6" s="47"/>
      <c r="J6" s="47"/>
      <c r="K6" s="47"/>
      <c r="L6" s="47"/>
      <c r="M6" s="23"/>
      <c r="N6" s="23"/>
      <c r="O6" s="23"/>
      <c r="P6" s="23"/>
      <c r="Q6" s="23"/>
      <c r="R6" s="23"/>
      <c r="S6" s="23"/>
      <c r="T6" s="23"/>
      <c r="U6" s="1"/>
    </row>
    <row r="7" spans="1:21" ht="17.25">
      <c r="A7" s="1"/>
      <c r="B7" s="22"/>
      <c r="C7" s="22"/>
      <c r="D7" s="53" t="s">
        <v>16</v>
      </c>
      <c r="E7" s="54">
        <v>237</v>
      </c>
      <c r="F7" s="47">
        <v>284</v>
      </c>
      <c r="G7" s="47">
        <v>216</v>
      </c>
      <c r="H7" s="47">
        <v>248</v>
      </c>
      <c r="I7" s="54">
        <v>171</v>
      </c>
      <c r="J7" s="47">
        <v>182</v>
      </c>
      <c r="K7" s="47">
        <v>207</v>
      </c>
      <c r="L7" s="47">
        <v>237</v>
      </c>
      <c r="M7" s="25"/>
      <c r="N7" s="25"/>
      <c r="O7" s="25"/>
      <c r="P7" s="25"/>
      <c r="Q7" s="25"/>
      <c r="R7" s="25"/>
      <c r="S7" s="25"/>
      <c r="T7" s="25"/>
      <c r="U7" s="1"/>
    </row>
    <row r="8" spans="1:21" ht="15">
      <c r="A8" s="1"/>
      <c r="B8" s="22"/>
      <c r="C8" s="22"/>
      <c r="D8" s="46" t="s">
        <v>31</v>
      </c>
      <c r="E8" s="53"/>
      <c r="F8" s="47">
        <v>0</v>
      </c>
      <c r="G8" s="47">
        <v>0</v>
      </c>
      <c r="H8" s="47">
        <v>0</v>
      </c>
      <c r="I8" s="50"/>
      <c r="J8" s="47">
        <v>0</v>
      </c>
      <c r="K8" s="47">
        <v>0</v>
      </c>
      <c r="L8" s="47">
        <v>0</v>
      </c>
      <c r="M8" s="15"/>
      <c r="N8" s="15"/>
      <c r="O8" s="15"/>
      <c r="P8" s="15"/>
      <c r="Q8" s="15"/>
      <c r="R8" s="15"/>
      <c r="S8" s="15"/>
      <c r="T8" s="15"/>
      <c r="U8" s="1"/>
    </row>
    <row r="9" spans="1:21" ht="15">
      <c r="A9" s="1"/>
      <c r="B9" s="22"/>
      <c r="C9" s="22"/>
      <c r="D9" s="52" t="s">
        <v>32</v>
      </c>
      <c r="E9" s="48"/>
      <c r="F9" s="47">
        <v>0</v>
      </c>
      <c r="G9" s="47">
        <v>0</v>
      </c>
      <c r="H9" s="47">
        <v>0</v>
      </c>
      <c r="I9" s="48"/>
      <c r="J9" s="47">
        <v>0</v>
      </c>
      <c r="K9" s="47">
        <v>0</v>
      </c>
      <c r="L9" s="47">
        <v>0</v>
      </c>
      <c r="M9" s="15"/>
      <c r="N9" s="15"/>
      <c r="O9" s="15"/>
      <c r="P9" s="15"/>
      <c r="Q9" s="15"/>
      <c r="R9" s="15"/>
      <c r="S9" s="15"/>
      <c r="T9" s="15"/>
      <c r="U9" s="1"/>
    </row>
    <row r="10" spans="1:21" ht="17.25">
      <c r="A10" s="1"/>
      <c r="B10" s="22"/>
      <c r="C10" s="22"/>
      <c r="D10" s="53" t="s">
        <v>33</v>
      </c>
      <c r="E10" s="54">
        <v>109</v>
      </c>
      <c r="F10" s="47">
        <v>109</v>
      </c>
      <c r="G10" s="47">
        <v>108</v>
      </c>
      <c r="H10" s="47">
        <v>105</v>
      </c>
      <c r="I10" s="54">
        <v>107</v>
      </c>
      <c r="J10" s="47">
        <v>107</v>
      </c>
      <c r="K10" s="47">
        <v>110</v>
      </c>
      <c r="L10" s="47">
        <v>115</v>
      </c>
      <c r="M10" s="26"/>
      <c r="N10" s="26"/>
      <c r="O10" s="26"/>
      <c r="P10" s="26"/>
      <c r="Q10" s="26"/>
      <c r="R10" s="26"/>
      <c r="S10" s="26"/>
      <c r="T10" s="26"/>
      <c r="U10" s="1"/>
    </row>
    <row r="11" spans="1:21" ht="17.25">
      <c r="A11" s="1"/>
      <c r="B11" s="22"/>
      <c r="C11" s="22"/>
      <c r="D11" s="53" t="s">
        <v>34</v>
      </c>
      <c r="E11" s="54">
        <v>8</v>
      </c>
      <c r="F11" s="47">
        <v>-42</v>
      </c>
      <c r="G11" s="47">
        <v>-3</v>
      </c>
      <c r="H11" s="47">
        <v>-20</v>
      </c>
      <c r="I11" s="54">
        <v>-2</v>
      </c>
      <c r="J11" s="47">
        <v>37</v>
      </c>
      <c r="K11" s="47">
        <v>-7</v>
      </c>
      <c r="L11" s="47">
        <v>158</v>
      </c>
      <c r="M11" s="25"/>
      <c r="N11" s="25"/>
      <c r="O11" s="25"/>
      <c r="P11" s="25"/>
      <c r="Q11" s="25"/>
      <c r="R11" s="25"/>
      <c r="S11" s="25"/>
      <c r="T11" s="25"/>
      <c r="U11" s="1"/>
    </row>
    <row r="12" spans="1:21" ht="15">
      <c r="A12" s="1"/>
      <c r="B12" s="22"/>
      <c r="C12" s="22"/>
      <c r="D12" s="53" t="s">
        <v>35</v>
      </c>
      <c r="E12" s="54">
        <v>15</v>
      </c>
      <c r="F12" s="47">
        <v>7</v>
      </c>
      <c r="G12" s="47">
        <v>16</v>
      </c>
      <c r="H12" s="47">
        <v>15</v>
      </c>
      <c r="I12" s="54">
        <v>8</v>
      </c>
      <c r="J12" s="47">
        <v>9</v>
      </c>
      <c r="K12" s="47">
        <v>13</v>
      </c>
      <c r="L12" s="47">
        <v>12</v>
      </c>
      <c r="M12" s="15"/>
      <c r="N12" s="15"/>
      <c r="O12" s="15"/>
      <c r="P12" s="15"/>
      <c r="Q12" s="15"/>
      <c r="R12" s="15"/>
      <c r="S12" s="15"/>
      <c r="T12" s="15"/>
      <c r="U12" s="1"/>
    </row>
    <row r="13" spans="1:21" ht="15">
      <c r="A13" s="1"/>
      <c r="B13" s="22"/>
      <c r="C13" s="22"/>
      <c r="D13" s="53" t="s">
        <v>36</v>
      </c>
      <c r="E13" s="54">
        <v>7</v>
      </c>
      <c r="F13" s="47">
        <v>24</v>
      </c>
      <c r="G13" s="47">
        <v>4</v>
      </c>
      <c r="H13" s="47">
        <v>-2</v>
      </c>
      <c r="I13" s="54">
        <v>7</v>
      </c>
      <c r="J13" s="47">
        <v>5</v>
      </c>
      <c r="K13" s="47">
        <v>2</v>
      </c>
      <c r="L13" s="47">
        <v>16</v>
      </c>
      <c r="M13" s="15"/>
      <c r="N13" s="15"/>
      <c r="O13" s="15"/>
      <c r="P13" s="15"/>
      <c r="Q13" s="15"/>
      <c r="R13" s="15"/>
      <c r="S13" s="15"/>
      <c r="T13" s="15"/>
      <c r="U13" s="1"/>
    </row>
    <row r="14" spans="1:21" ht="17.25">
      <c r="A14" s="1"/>
      <c r="B14" s="22"/>
      <c r="C14" s="22"/>
      <c r="D14" s="56" t="s">
        <v>37</v>
      </c>
      <c r="E14" s="48"/>
      <c r="F14" s="47">
        <v>0</v>
      </c>
      <c r="G14" s="47">
        <v>0</v>
      </c>
      <c r="H14" s="47">
        <v>0</v>
      </c>
      <c r="I14" s="48"/>
      <c r="J14" s="47">
        <v>26</v>
      </c>
      <c r="K14" s="47">
        <v>0</v>
      </c>
      <c r="L14" s="47">
        <v>1</v>
      </c>
      <c r="M14" s="26"/>
      <c r="N14" s="26"/>
      <c r="O14" s="26"/>
      <c r="P14" s="26"/>
      <c r="Q14" s="26"/>
      <c r="R14" s="26"/>
      <c r="S14" s="26"/>
      <c r="T14" s="26"/>
      <c r="U14" s="1"/>
    </row>
    <row r="15" spans="1:21" ht="17.25">
      <c r="A15" s="1"/>
      <c r="B15" s="22"/>
      <c r="C15" s="22"/>
      <c r="D15" s="53" t="s">
        <v>38</v>
      </c>
      <c r="E15" s="54"/>
      <c r="F15" s="47">
        <v>0</v>
      </c>
      <c r="G15" s="47">
        <v>0</v>
      </c>
      <c r="H15" s="47">
        <v>-13</v>
      </c>
      <c r="I15" s="54">
        <v>22</v>
      </c>
      <c r="J15" s="47">
        <v>-6</v>
      </c>
      <c r="K15" s="47">
        <v>0</v>
      </c>
      <c r="L15" s="47">
        <v>0</v>
      </c>
      <c r="M15" s="25"/>
      <c r="N15" s="25"/>
      <c r="O15" s="25"/>
      <c r="P15" s="25"/>
      <c r="Q15" s="25"/>
      <c r="R15" s="25"/>
      <c r="S15" s="25"/>
      <c r="T15" s="25"/>
      <c r="U15" s="1"/>
    </row>
    <row r="16" spans="1:21" ht="15">
      <c r="A16" s="1"/>
      <c r="B16" s="22"/>
      <c r="C16" s="22"/>
      <c r="D16" s="51" t="s">
        <v>39</v>
      </c>
      <c r="E16" s="48"/>
      <c r="F16" s="47">
        <v>0</v>
      </c>
      <c r="G16" s="47">
        <v>0</v>
      </c>
      <c r="H16" s="47">
        <v>26</v>
      </c>
      <c r="I16" s="48"/>
      <c r="J16" s="47">
        <v>0</v>
      </c>
      <c r="K16" s="47">
        <v>0</v>
      </c>
      <c r="L16" s="47">
        <v>7</v>
      </c>
      <c r="M16" s="15"/>
      <c r="N16" s="15"/>
      <c r="O16" s="15"/>
      <c r="P16" s="15"/>
      <c r="Q16" s="15"/>
      <c r="R16" s="15"/>
      <c r="S16" s="15"/>
      <c r="T16" s="15"/>
      <c r="U16" s="1"/>
    </row>
    <row r="17" spans="1:21" ht="15">
      <c r="A17" s="1"/>
      <c r="B17" s="22"/>
      <c r="C17" s="22"/>
      <c r="D17" s="51" t="s">
        <v>40</v>
      </c>
      <c r="E17" s="48"/>
      <c r="F17" s="47">
        <v>0</v>
      </c>
      <c r="G17" s="47">
        <v>0</v>
      </c>
      <c r="H17" s="47">
        <v>0</v>
      </c>
      <c r="I17" s="48"/>
      <c r="J17" s="47">
        <v>0</v>
      </c>
      <c r="K17" s="47">
        <v>0</v>
      </c>
      <c r="L17" s="47">
        <v>-177</v>
      </c>
      <c r="M17" s="15"/>
      <c r="N17" s="15"/>
      <c r="O17" s="15"/>
      <c r="P17" s="15"/>
      <c r="Q17" s="15"/>
      <c r="R17" s="15"/>
      <c r="S17" s="15"/>
      <c r="T17" s="15"/>
      <c r="U17" s="1"/>
    </row>
    <row r="18" spans="1:21" ht="17.25">
      <c r="A18" s="1"/>
      <c r="B18" s="22"/>
      <c r="C18" s="22"/>
      <c r="D18" s="53" t="s">
        <v>41</v>
      </c>
      <c r="E18" s="54">
        <v>-11</v>
      </c>
      <c r="F18" s="47">
        <v>-16</v>
      </c>
      <c r="G18" s="47">
        <v>5</v>
      </c>
      <c r="H18" s="47">
        <v>10</v>
      </c>
      <c r="I18" s="54">
        <v>6</v>
      </c>
      <c r="J18" s="47">
        <v>-10</v>
      </c>
      <c r="K18" s="47">
        <v>13</v>
      </c>
      <c r="L18" s="47">
        <v>-9</v>
      </c>
      <c r="M18" s="26"/>
      <c r="N18" s="26"/>
      <c r="O18" s="26"/>
      <c r="P18" s="26"/>
      <c r="Q18" s="26"/>
      <c r="R18" s="26"/>
      <c r="S18" s="26"/>
      <c r="T18" s="26"/>
      <c r="U18" s="1"/>
    </row>
    <row r="19" spans="1:21" s="7" customFormat="1" ht="15">
      <c r="A19" s="6"/>
      <c r="B19" s="27"/>
      <c r="C19" s="27"/>
      <c r="D19" s="46" t="s">
        <v>42</v>
      </c>
      <c r="E19" s="66">
        <f>SUM(E7:E18)</f>
        <v>365</v>
      </c>
      <c r="F19" s="66">
        <f t="shared" ref="F19:T19" si="2">SUM(F7:F18)</f>
        <v>366</v>
      </c>
      <c r="G19" s="66">
        <f t="shared" si="2"/>
        <v>346</v>
      </c>
      <c r="H19" s="66">
        <f t="shared" si="2"/>
        <v>369</v>
      </c>
      <c r="I19" s="66">
        <f t="shared" si="2"/>
        <v>319</v>
      </c>
      <c r="J19" s="66">
        <f t="shared" si="2"/>
        <v>350</v>
      </c>
      <c r="K19" s="66">
        <f t="shared" si="2"/>
        <v>338</v>
      </c>
      <c r="L19" s="66">
        <f t="shared" si="2"/>
        <v>360</v>
      </c>
      <c r="M19" s="66">
        <f t="shared" si="2"/>
        <v>0</v>
      </c>
      <c r="N19" s="66">
        <f t="shared" si="2"/>
        <v>0</v>
      </c>
      <c r="O19" s="66">
        <f t="shared" si="2"/>
        <v>0</v>
      </c>
      <c r="P19" s="66">
        <f t="shared" si="2"/>
        <v>0</v>
      </c>
      <c r="Q19" s="66">
        <f t="shared" si="2"/>
        <v>0</v>
      </c>
      <c r="R19" s="66">
        <f t="shared" si="2"/>
        <v>0</v>
      </c>
      <c r="S19" s="66">
        <f t="shared" si="2"/>
        <v>0</v>
      </c>
      <c r="T19" s="66">
        <f t="shared" si="2"/>
        <v>0</v>
      </c>
      <c r="U19" s="6"/>
    </row>
    <row r="20" spans="1:21" ht="15">
      <c r="A20" s="1"/>
      <c r="B20" s="22"/>
      <c r="C20" s="22"/>
      <c r="D20" s="51" t="s">
        <v>43</v>
      </c>
      <c r="E20" s="48"/>
      <c r="F20" s="47">
        <v>0</v>
      </c>
      <c r="G20" s="47">
        <v>0</v>
      </c>
      <c r="H20" s="47">
        <v>0</v>
      </c>
      <c r="I20" s="48"/>
      <c r="J20" s="47">
        <v>0</v>
      </c>
      <c r="K20" s="47">
        <v>0</v>
      </c>
      <c r="L20" s="47">
        <v>-172</v>
      </c>
      <c r="M20" s="15"/>
      <c r="N20" s="15"/>
      <c r="O20" s="15"/>
      <c r="P20" s="15"/>
      <c r="Q20" s="15"/>
      <c r="R20" s="15"/>
      <c r="S20" s="15"/>
      <c r="T20" s="15"/>
      <c r="U20" s="1"/>
    </row>
    <row r="21" spans="1:21" ht="15">
      <c r="A21" s="1"/>
      <c r="B21" s="22"/>
      <c r="C21" s="22"/>
      <c r="D21" s="53" t="s">
        <v>44</v>
      </c>
      <c r="E21" s="54"/>
      <c r="F21" s="47">
        <v>-159</v>
      </c>
      <c r="G21" s="47">
        <v>159</v>
      </c>
      <c r="H21" s="47">
        <v>0</v>
      </c>
      <c r="I21" s="55"/>
      <c r="J21" s="47">
        <v>0</v>
      </c>
      <c r="K21" s="47">
        <v>0</v>
      </c>
      <c r="L21" s="47">
        <v>0</v>
      </c>
      <c r="M21" s="15"/>
      <c r="N21" s="15"/>
      <c r="O21" s="15"/>
      <c r="P21" s="15"/>
      <c r="Q21" s="15"/>
      <c r="R21" s="15"/>
      <c r="S21" s="15"/>
      <c r="T21" s="15"/>
      <c r="U21" s="1"/>
    </row>
    <row r="22" spans="1:21" ht="17.25">
      <c r="A22" s="1"/>
      <c r="B22" s="22"/>
      <c r="C22" s="22"/>
      <c r="D22" s="53" t="s">
        <v>45</v>
      </c>
      <c r="E22" s="54">
        <v>-187</v>
      </c>
      <c r="F22" s="47">
        <v>125</v>
      </c>
      <c r="G22" s="47">
        <v>-49</v>
      </c>
      <c r="H22" s="47">
        <v>68</v>
      </c>
      <c r="I22" s="54">
        <v>-95</v>
      </c>
      <c r="J22" s="47">
        <v>5</v>
      </c>
      <c r="K22" s="47">
        <v>14</v>
      </c>
      <c r="L22" s="47">
        <v>95</v>
      </c>
      <c r="M22" s="26"/>
      <c r="N22" s="26"/>
      <c r="O22" s="26"/>
      <c r="P22" s="26"/>
      <c r="Q22" s="26"/>
      <c r="R22" s="26"/>
      <c r="S22" s="26"/>
      <c r="T22" s="26"/>
      <c r="U22" s="1"/>
    </row>
    <row r="23" spans="1:21" ht="17.25">
      <c r="A23" s="1"/>
      <c r="B23" s="22"/>
      <c r="C23" s="22"/>
      <c r="D23" s="53" t="s">
        <v>46</v>
      </c>
      <c r="E23" s="54">
        <v>-27</v>
      </c>
      <c r="F23" s="47">
        <v>-7</v>
      </c>
      <c r="G23" s="47">
        <v>-46</v>
      </c>
      <c r="H23" s="47">
        <v>27</v>
      </c>
      <c r="I23" s="54">
        <v>-31</v>
      </c>
      <c r="J23" s="47">
        <v>-9</v>
      </c>
      <c r="K23" s="47">
        <v>-16</v>
      </c>
      <c r="L23" s="47">
        <v>20</v>
      </c>
      <c r="M23" s="25"/>
      <c r="N23" s="25"/>
      <c r="O23" s="25"/>
      <c r="P23" s="25"/>
      <c r="Q23" s="25"/>
      <c r="R23" s="25"/>
      <c r="S23" s="25"/>
      <c r="T23" s="25"/>
      <c r="U23" s="1"/>
    </row>
    <row r="24" spans="1:21" ht="15">
      <c r="A24" s="1"/>
      <c r="B24" s="22"/>
      <c r="C24" s="22"/>
      <c r="D24" s="53" t="s">
        <v>47</v>
      </c>
      <c r="E24" s="54">
        <v>-14</v>
      </c>
      <c r="F24" s="47">
        <v>-92</v>
      </c>
      <c r="G24" s="47">
        <v>63</v>
      </c>
      <c r="H24" s="47">
        <v>24</v>
      </c>
      <c r="I24" s="54">
        <v>-23</v>
      </c>
      <c r="J24" s="47">
        <v>1</v>
      </c>
      <c r="K24" s="47">
        <v>-2</v>
      </c>
      <c r="L24" s="47">
        <v>6</v>
      </c>
      <c r="M24" s="15"/>
      <c r="N24" s="15"/>
      <c r="O24" s="15"/>
      <c r="P24" s="15"/>
      <c r="Q24" s="15"/>
      <c r="R24" s="15"/>
      <c r="S24" s="15"/>
      <c r="T24" s="15"/>
      <c r="U24" s="1"/>
    </row>
    <row r="25" spans="1:21" ht="15">
      <c r="A25" s="1"/>
      <c r="B25" s="22"/>
      <c r="C25" s="22"/>
      <c r="D25" s="53" t="s">
        <v>48</v>
      </c>
      <c r="E25" s="54">
        <v>-109</v>
      </c>
      <c r="F25" s="47">
        <v>56</v>
      </c>
      <c r="G25" s="47">
        <v>-148</v>
      </c>
      <c r="H25" s="47">
        <v>125</v>
      </c>
      <c r="I25" s="54">
        <v>-120</v>
      </c>
      <c r="J25" s="47">
        <v>72</v>
      </c>
      <c r="K25" s="47">
        <v>30</v>
      </c>
      <c r="L25" s="47">
        <v>-105</v>
      </c>
      <c r="M25" s="15"/>
      <c r="N25" s="15"/>
      <c r="O25" s="15"/>
      <c r="P25" s="15"/>
      <c r="Q25" s="15"/>
      <c r="R25" s="15"/>
      <c r="S25" s="15"/>
      <c r="T25" s="15"/>
      <c r="U25" s="1"/>
    </row>
    <row r="26" spans="1:21" ht="17.25">
      <c r="A26" s="1"/>
      <c r="B26" s="22"/>
      <c r="C26" s="22"/>
      <c r="D26" s="53" t="s">
        <v>49</v>
      </c>
      <c r="E26" s="54">
        <v>3</v>
      </c>
      <c r="F26" s="47">
        <v>-15</v>
      </c>
      <c r="G26" s="47">
        <v>-42</v>
      </c>
      <c r="H26" s="47">
        <v>-31</v>
      </c>
      <c r="I26" s="54">
        <v>-12</v>
      </c>
      <c r="J26" s="47">
        <v>18</v>
      </c>
      <c r="K26" s="47">
        <v>9</v>
      </c>
      <c r="L26" s="47">
        <v>-23</v>
      </c>
      <c r="M26" s="26"/>
      <c r="N26" s="26"/>
      <c r="O26" s="26"/>
      <c r="P26" s="26"/>
      <c r="Q26" s="26"/>
      <c r="R26" s="26"/>
      <c r="S26" s="26"/>
      <c r="T26" s="26"/>
      <c r="U26" s="1"/>
    </row>
    <row r="27" spans="1:21" ht="18" thickBot="1">
      <c r="A27" s="1"/>
      <c r="B27" s="22"/>
      <c r="C27" s="22"/>
      <c r="D27" s="53" t="s">
        <v>50</v>
      </c>
      <c r="E27" s="54">
        <v>4</v>
      </c>
      <c r="F27" s="47">
        <v>301</v>
      </c>
      <c r="G27" s="47">
        <v>-337</v>
      </c>
      <c r="H27" s="47">
        <v>-12</v>
      </c>
      <c r="I27" s="54">
        <v>2</v>
      </c>
      <c r="J27" s="47">
        <v>-10</v>
      </c>
      <c r="K27" s="47">
        <v>-16</v>
      </c>
      <c r="L27" s="47">
        <v>3</v>
      </c>
      <c r="M27" s="25"/>
      <c r="N27" s="25"/>
      <c r="O27" s="25"/>
      <c r="P27" s="25"/>
      <c r="Q27" s="25"/>
      <c r="R27" s="25"/>
      <c r="S27" s="25"/>
      <c r="T27" s="25"/>
      <c r="U27" s="1"/>
    </row>
    <row r="28" spans="1:21" s="68" customFormat="1" ht="16.5" thickBot="1">
      <c r="A28" s="67"/>
      <c r="B28" s="42"/>
      <c r="C28" s="42"/>
      <c r="D28" s="69" t="s">
        <v>51</v>
      </c>
      <c r="E28" s="70">
        <f>SUM(E19:E27)</f>
        <v>35</v>
      </c>
      <c r="F28" s="70">
        <f t="shared" ref="F28:L28" si="3">SUM(F19:F27)</f>
        <v>575</v>
      </c>
      <c r="G28" s="70">
        <f t="shared" si="3"/>
        <v>-54</v>
      </c>
      <c r="H28" s="70">
        <f t="shared" si="3"/>
        <v>570</v>
      </c>
      <c r="I28" s="70">
        <f t="shared" si="3"/>
        <v>40</v>
      </c>
      <c r="J28" s="70">
        <f t="shared" si="3"/>
        <v>427</v>
      </c>
      <c r="K28" s="70">
        <f t="shared" si="3"/>
        <v>357</v>
      </c>
      <c r="L28" s="70">
        <f t="shared" si="3"/>
        <v>184</v>
      </c>
      <c r="M28" s="70">
        <f t="shared" ref="M28" si="4">SUM(M19:M27)</f>
        <v>0</v>
      </c>
      <c r="N28" s="70">
        <f t="shared" ref="N28" si="5">SUM(N19:N27)</f>
        <v>0</v>
      </c>
      <c r="O28" s="70">
        <f t="shared" ref="O28" si="6">SUM(O19:O27)</f>
        <v>0</v>
      </c>
      <c r="P28" s="70">
        <f t="shared" ref="P28" si="7">SUM(P19:P27)</f>
        <v>0</v>
      </c>
      <c r="Q28" s="70">
        <f t="shared" ref="Q28" si="8">SUM(Q19:Q27)</f>
        <v>0</v>
      </c>
      <c r="R28" s="70">
        <f t="shared" ref="R28" si="9">SUM(R19:R27)</f>
        <v>0</v>
      </c>
      <c r="S28" s="70">
        <f t="shared" ref="S28" si="10">SUM(S19:S27)</f>
        <v>0</v>
      </c>
      <c r="T28" s="71">
        <f t="shared" ref="T28" si="11">SUM(T19:T27)</f>
        <v>0</v>
      </c>
      <c r="U28" s="67"/>
    </row>
    <row r="29" spans="1:21" s="47" customFormat="1" ht="15">
      <c r="A29" s="1"/>
      <c r="B29" s="22"/>
      <c r="C29" s="22"/>
      <c r="D29" s="53"/>
      <c r="E29" s="60"/>
      <c r="I29" s="60"/>
      <c r="M29" s="15"/>
      <c r="N29" s="15"/>
      <c r="O29" s="15"/>
      <c r="P29" s="15"/>
      <c r="Q29" s="15"/>
      <c r="R29" s="15"/>
      <c r="S29" s="15"/>
      <c r="T29" s="15"/>
      <c r="U29" s="1"/>
    </row>
    <row r="30" spans="1:21" s="47" customFormat="1" ht="15">
      <c r="A30" s="1"/>
      <c r="B30" s="22"/>
      <c r="C30" s="22"/>
      <c r="D30" s="53"/>
      <c r="E30" s="60"/>
      <c r="I30" s="60"/>
      <c r="M30" s="15"/>
      <c r="N30" s="15"/>
      <c r="O30" s="15"/>
      <c r="P30" s="15"/>
      <c r="Q30" s="15"/>
      <c r="R30" s="15"/>
      <c r="S30" s="15"/>
      <c r="T30" s="15"/>
      <c r="U30" s="1"/>
    </row>
    <row r="31" spans="1:21" ht="15">
      <c r="A31" s="1"/>
      <c r="B31" s="22"/>
      <c r="C31" s="22"/>
      <c r="D31" s="46" t="s">
        <v>52</v>
      </c>
      <c r="E31" s="80"/>
      <c r="F31" s="75"/>
      <c r="G31" s="75"/>
      <c r="H31" s="75"/>
      <c r="I31" s="81"/>
      <c r="J31" s="75"/>
      <c r="K31" s="75"/>
      <c r="L31" s="75"/>
      <c r="M31" s="15"/>
      <c r="N31" s="15"/>
      <c r="O31" s="15"/>
      <c r="P31" s="15"/>
      <c r="Q31" s="15"/>
      <c r="R31" s="15"/>
      <c r="S31" s="15"/>
      <c r="T31" s="15"/>
      <c r="U31" s="1"/>
    </row>
    <row r="32" spans="1:21" ht="17.25">
      <c r="A32" s="1"/>
      <c r="B32" s="22"/>
      <c r="C32" s="22"/>
      <c r="D32" s="79" t="s">
        <v>53</v>
      </c>
      <c r="E32" s="80">
        <v>-160</v>
      </c>
      <c r="F32" s="75">
        <v>-109</v>
      </c>
      <c r="G32" s="75">
        <v>-125</v>
      </c>
      <c r="H32" s="75">
        <v>-152</v>
      </c>
      <c r="I32" s="80">
        <v>-117</v>
      </c>
      <c r="J32" s="75">
        <v>-127</v>
      </c>
      <c r="K32" s="75">
        <v>-102</v>
      </c>
      <c r="L32" s="75">
        <v>-135</v>
      </c>
      <c r="M32" s="26"/>
      <c r="N32" s="26"/>
      <c r="O32" s="26"/>
      <c r="P32" s="26"/>
      <c r="Q32" s="26"/>
      <c r="R32" s="26"/>
      <c r="S32" s="26"/>
      <c r="T32" s="26"/>
      <c r="U32" s="1"/>
    </row>
    <row r="33" spans="1:21" ht="17.25">
      <c r="A33" s="1"/>
      <c r="B33" s="22"/>
      <c r="C33" s="22"/>
      <c r="D33" s="83" t="s">
        <v>54</v>
      </c>
      <c r="E33" s="80"/>
      <c r="F33" s="75">
        <v>0</v>
      </c>
      <c r="G33" s="75">
        <v>0</v>
      </c>
      <c r="H33" s="75">
        <v>-6</v>
      </c>
      <c r="I33" s="80">
        <v>-10</v>
      </c>
      <c r="J33" s="75">
        <v>0</v>
      </c>
      <c r="K33" s="75">
        <v>0</v>
      </c>
      <c r="L33" s="75">
        <v>-43</v>
      </c>
      <c r="M33" s="25"/>
      <c r="N33" s="25"/>
      <c r="O33" s="25"/>
      <c r="P33" s="25"/>
      <c r="Q33" s="25"/>
      <c r="R33" s="25"/>
      <c r="S33" s="25"/>
      <c r="T33" s="25"/>
      <c r="U33" s="1"/>
    </row>
    <row r="34" spans="1:21" ht="15">
      <c r="A34" s="1"/>
      <c r="B34" s="22"/>
      <c r="C34" s="22"/>
      <c r="D34" s="83" t="s">
        <v>55</v>
      </c>
      <c r="E34" s="80"/>
      <c r="F34" s="75">
        <v>0</v>
      </c>
      <c r="G34" s="75">
        <v>0</v>
      </c>
      <c r="H34" s="75">
        <v>0</v>
      </c>
      <c r="I34" s="80">
        <v>23</v>
      </c>
      <c r="J34" s="75">
        <v>1</v>
      </c>
      <c r="K34" s="75">
        <v>0</v>
      </c>
      <c r="L34" s="75">
        <v>-34</v>
      </c>
      <c r="M34" s="24"/>
      <c r="N34" s="24"/>
      <c r="O34" s="24"/>
      <c r="P34" s="24"/>
      <c r="Q34" s="24"/>
      <c r="R34" s="24"/>
      <c r="S34" s="24"/>
      <c r="T34" s="24"/>
      <c r="U34" s="1"/>
    </row>
    <row r="35" spans="1:21" ht="15">
      <c r="A35" s="1"/>
      <c r="B35" s="22"/>
      <c r="C35" s="22"/>
      <c r="D35" s="76"/>
      <c r="E35" s="76"/>
      <c r="F35" s="75">
        <v>-3</v>
      </c>
      <c r="G35" s="75">
        <v>-1</v>
      </c>
      <c r="H35" s="75">
        <v>4</v>
      </c>
      <c r="I35" s="76"/>
      <c r="J35" s="75">
        <v>-48</v>
      </c>
      <c r="K35" s="75">
        <v>-4</v>
      </c>
      <c r="L35" s="75">
        <v>76</v>
      </c>
      <c r="M35" s="24"/>
      <c r="N35" s="24"/>
      <c r="O35" s="24"/>
      <c r="P35" s="24"/>
      <c r="Q35" s="24"/>
      <c r="R35" s="24"/>
      <c r="S35" s="24"/>
      <c r="T35" s="24"/>
      <c r="U35" s="1"/>
    </row>
    <row r="36" spans="1:21" ht="15">
      <c r="A36" s="1"/>
      <c r="B36" s="22"/>
      <c r="C36" s="22"/>
      <c r="D36" s="79" t="s">
        <v>56</v>
      </c>
      <c r="E36" s="80">
        <v>-1</v>
      </c>
      <c r="F36" s="75">
        <v>1</v>
      </c>
      <c r="G36" s="75">
        <v>0</v>
      </c>
      <c r="H36" s="75">
        <v>0</v>
      </c>
      <c r="I36" s="80">
        <v>-1</v>
      </c>
      <c r="J36" s="75">
        <v>1</v>
      </c>
      <c r="K36" s="75">
        <v>0</v>
      </c>
      <c r="L36" s="75">
        <v>0</v>
      </c>
      <c r="M36" s="24"/>
      <c r="N36" s="24"/>
      <c r="O36" s="24"/>
      <c r="P36" s="24"/>
      <c r="Q36" s="24"/>
      <c r="R36" s="24"/>
      <c r="S36" s="24"/>
      <c r="T36" s="24"/>
      <c r="U36" s="1"/>
    </row>
    <row r="37" spans="1:21" ht="15">
      <c r="A37" s="1"/>
      <c r="B37" s="22"/>
      <c r="C37" s="22"/>
      <c r="D37" s="78" t="s">
        <v>57</v>
      </c>
      <c r="E37" s="76"/>
      <c r="F37" s="75">
        <v>0</v>
      </c>
      <c r="G37" s="75">
        <v>0</v>
      </c>
      <c r="H37" s="75">
        <v>2</v>
      </c>
      <c r="I37" s="76"/>
      <c r="J37" s="75">
        <v>0</v>
      </c>
      <c r="K37" s="75">
        <v>0</v>
      </c>
      <c r="L37" s="75">
        <v>22</v>
      </c>
      <c r="M37" s="24"/>
      <c r="N37" s="24"/>
      <c r="O37" s="24"/>
      <c r="P37" s="24"/>
      <c r="Q37" s="24"/>
      <c r="R37" s="24"/>
      <c r="S37" s="24"/>
      <c r="T37" s="24"/>
      <c r="U37" s="1"/>
    </row>
    <row r="38" spans="1:21" ht="15.75" thickBot="1">
      <c r="A38" s="1"/>
      <c r="B38" s="22"/>
      <c r="C38" s="22"/>
      <c r="D38" s="79" t="s">
        <v>58</v>
      </c>
      <c r="E38" s="80"/>
      <c r="F38" s="75">
        <v>5</v>
      </c>
      <c r="G38" s="75">
        <v>0</v>
      </c>
      <c r="H38" s="75">
        <v>31</v>
      </c>
      <c r="I38" s="80">
        <v>1</v>
      </c>
      <c r="J38" s="75">
        <v>0</v>
      </c>
      <c r="K38" s="75">
        <v>3</v>
      </c>
      <c r="L38" s="75">
        <v>5</v>
      </c>
      <c r="M38" s="24"/>
      <c r="N38" s="24"/>
      <c r="O38" s="24"/>
      <c r="P38" s="24"/>
      <c r="Q38" s="24"/>
      <c r="R38" s="24"/>
      <c r="S38" s="24"/>
      <c r="T38" s="24"/>
      <c r="U38" s="1"/>
    </row>
    <row r="39" spans="1:21" s="68" customFormat="1" ht="16.5" thickBot="1">
      <c r="A39" s="67"/>
      <c r="B39" s="42"/>
      <c r="C39" s="42"/>
      <c r="D39" s="85" t="s">
        <v>59</v>
      </c>
      <c r="E39" s="86">
        <f>SUM(E32:E38)</f>
        <v>-161</v>
      </c>
      <c r="F39" s="86">
        <f t="shared" ref="F39:T39" si="12">SUM(F32:F38)</f>
        <v>-106</v>
      </c>
      <c r="G39" s="86">
        <f t="shared" si="12"/>
        <v>-126</v>
      </c>
      <c r="H39" s="86">
        <f t="shared" si="12"/>
        <v>-121</v>
      </c>
      <c r="I39" s="86">
        <f t="shared" si="12"/>
        <v>-104</v>
      </c>
      <c r="J39" s="86">
        <f t="shared" si="12"/>
        <v>-173</v>
      </c>
      <c r="K39" s="86">
        <f t="shared" si="12"/>
        <v>-103</v>
      </c>
      <c r="L39" s="86">
        <f t="shared" si="12"/>
        <v>-109</v>
      </c>
      <c r="M39" s="86">
        <f t="shared" si="12"/>
        <v>0</v>
      </c>
      <c r="N39" s="86">
        <f t="shared" si="12"/>
        <v>0</v>
      </c>
      <c r="O39" s="86">
        <f t="shared" si="12"/>
        <v>0</v>
      </c>
      <c r="P39" s="86">
        <f t="shared" si="12"/>
        <v>0</v>
      </c>
      <c r="Q39" s="86">
        <f t="shared" si="12"/>
        <v>0</v>
      </c>
      <c r="R39" s="86">
        <f t="shared" si="12"/>
        <v>0</v>
      </c>
      <c r="S39" s="86">
        <f t="shared" si="12"/>
        <v>0</v>
      </c>
      <c r="T39" s="86">
        <f t="shared" si="12"/>
        <v>0</v>
      </c>
      <c r="U39" s="67"/>
    </row>
    <row r="40" spans="1:21" s="68" customFormat="1" ht="15.75">
      <c r="A40" s="67"/>
      <c r="B40" s="42"/>
      <c r="C40" s="42"/>
      <c r="D40" s="7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67"/>
    </row>
    <row r="41" spans="1:21" s="47" customFormat="1" ht="15">
      <c r="A41" s="1"/>
      <c r="B41" s="22"/>
      <c r="C41" s="22"/>
      <c r="D41" s="46" t="s">
        <v>60</v>
      </c>
      <c r="E41" s="80"/>
      <c r="F41" s="75"/>
      <c r="G41" s="75"/>
      <c r="H41" s="75"/>
      <c r="I41" s="81"/>
      <c r="J41" s="75"/>
      <c r="K41" s="75"/>
      <c r="L41" s="75"/>
      <c r="M41" s="24"/>
      <c r="N41" s="24"/>
      <c r="O41" s="24"/>
      <c r="P41" s="24"/>
      <c r="Q41" s="24"/>
      <c r="R41" s="24"/>
      <c r="S41" s="24"/>
      <c r="T41" s="24"/>
      <c r="U41" s="1"/>
    </row>
    <row r="42" spans="1:21" s="47" customFormat="1" ht="15">
      <c r="A42" s="1"/>
      <c r="B42" s="22"/>
      <c r="C42" s="22"/>
      <c r="D42" s="79" t="s">
        <v>61</v>
      </c>
      <c r="E42" s="80">
        <v>118</v>
      </c>
      <c r="F42" s="75">
        <v>-117</v>
      </c>
      <c r="G42" s="75">
        <v>-31</v>
      </c>
      <c r="H42" s="75">
        <v>-4</v>
      </c>
      <c r="I42" s="80"/>
      <c r="J42" s="75">
        <v>0</v>
      </c>
      <c r="K42" s="75">
        <v>0</v>
      </c>
      <c r="L42" s="75">
        <v>0</v>
      </c>
      <c r="M42" s="24"/>
      <c r="N42" s="24"/>
      <c r="O42" s="24"/>
      <c r="P42" s="24"/>
      <c r="Q42" s="24"/>
      <c r="R42" s="24"/>
      <c r="S42" s="24"/>
      <c r="T42" s="24"/>
      <c r="U42" s="1"/>
    </row>
    <row r="43" spans="1:21" ht="15">
      <c r="A43" s="1"/>
      <c r="B43" s="22"/>
      <c r="C43" s="22"/>
      <c r="D43" s="79" t="s">
        <v>62</v>
      </c>
      <c r="E43" s="80">
        <v>12</v>
      </c>
      <c r="F43" s="75">
        <v>7</v>
      </c>
      <c r="G43" s="75">
        <v>1</v>
      </c>
      <c r="H43" s="75">
        <v>39</v>
      </c>
      <c r="I43" s="80">
        <v>11</v>
      </c>
      <c r="J43" s="75">
        <v>19</v>
      </c>
      <c r="K43" s="75">
        <v>15</v>
      </c>
      <c r="L43" s="75">
        <v>18</v>
      </c>
      <c r="M43" s="24"/>
      <c r="N43" s="24"/>
      <c r="O43" s="24"/>
      <c r="P43" s="24"/>
      <c r="Q43" s="24"/>
      <c r="R43" s="24"/>
      <c r="S43" s="24"/>
      <c r="T43" s="24"/>
      <c r="U43" s="1"/>
    </row>
    <row r="44" spans="1:21" ht="15">
      <c r="A44" s="1"/>
      <c r="B44" s="22"/>
      <c r="C44" s="22"/>
      <c r="D44" s="79" t="s">
        <v>63</v>
      </c>
      <c r="E44" s="80">
        <v>-10</v>
      </c>
      <c r="F44" s="75">
        <v>-4</v>
      </c>
      <c r="G44" s="75">
        <v>-1</v>
      </c>
      <c r="H44" s="75">
        <v>-51</v>
      </c>
      <c r="I44" s="80">
        <v>-26</v>
      </c>
      <c r="J44" s="75">
        <v>-13</v>
      </c>
      <c r="K44" s="75">
        <v>-15</v>
      </c>
      <c r="L44" s="75">
        <v>-150</v>
      </c>
      <c r="M44" s="24"/>
      <c r="N44" s="24"/>
      <c r="O44" s="24"/>
      <c r="P44" s="24"/>
      <c r="Q44" s="24"/>
      <c r="R44" s="24"/>
      <c r="S44" s="24"/>
      <c r="T44" s="24"/>
      <c r="U44" s="1"/>
    </row>
    <row r="45" spans="1:21" ht="15">
      <c r="A45" s="1"/>
      <c r="B45" s="22"/>
      <c r="C45" s="22"/>
      <c r="D45" s="76"/>
      <c r="E45" s="76"/>
      <c r="F45" s="75">
        <v>0</v>
      </c>
      <c r="G45" s="75">
        <v>0</v>
      </c>
      <c r="H45" s="75">
        <v>0</v>
      </c>
      <c r="I45" s="76"/>
      <c r="J45" s="75">
        <v>0</v>
      </c>
      <c r="K45" s="75">
        <v>0</v>
      </c>
      <c r="L45" s="75">
        <v>0</v>
      </c>
      <c r="M45" s="24"/>
      <c r="N45" s="24"/>
      <c r="O45" s="24"/>
      <c r="P45" s="24"/>
      <c r="Q45" s="24"/>
      <c r="R45" s="24"/>
      <c r="S45" s="24"/>
      <c r="T45" s="24"/>
      <c r="U45" s="1"/>
    </row>
    <row r="46" spans="1:21" ht="15">
      <c r="A46" s="1"/>
      <c r="B46" s="22"/>
      <c r="C46" s="22"/>
      <c r="D46" s="79" t="s">
        <v>64</v>
      </c>
      <c r="E46" s="80">
        <v>-55</v>
      </c>
      <c r="F46" s="75">
        <v>-55</v>
      </c>
      <c r="G46" s="75">
        <v>-40</v>
      </c>
      <c r="H46" s="75">
        <v>0</v>
      </c>
      <c r="I46" s="80">
        <v>-67</v>
      </c>
      <c r="J46" s="75">
        <v>-33</v>
      </c>
      <c r="K46" s="75">
        <v>0</v>
      </c>
      <c r="L46" s="75">
        <v>0</v>
      </c>
      <c r="M46" s="24"/>
      <c r="N46" s="24"/>
      <c r="O46" s="24"/>
      <c r="P46" s="24"/>
      <c r="Q46" s="24"/>
      <c r="R46" s="24"/>
      <c r="S46" s="24"/>
      <c r="T46" s="24"/>
      <c r="U46" s="1"/>
    </row>
    <row r="47" spans="1:21" ht="15">
      <c r="A47" s="1"/>
      <c r="B47" s="22"/>
      <c r="C47" s="22"/>
      <c r="D47" s="83" t="s">
        <v>65</v>
      </c>
      <c r="E47" s="80">
        <v>-14</v>
      </c>
      <c r="F47" s="75">
        <v>-1</v>
      </c>
      <c r="G47" s="75">
        <v>0</v>
      </c>
      <c r="H47" s="75">
        <v>0</v>
      </c>
      <c r="I47" s="80">
        <v>-14</v>
      </c>
      <c r="J47" s="75">
        <v>-1</v>
      </c>
      <c r="K47" s="75">
        <v>0</v>
      </c>
      <c r="L47" s="75">
        <v>0</v>
      </c>
      <c r="M47" s="23"/>
      <c r="N47" s="23"/>
      <c r="O47" s="23"/>
      <c r="P47" s="23"/>
      <c r="Q47" s="23"/>
      <c r="R47" s="23"/>
      <c r="S47" s="23"/>
      <c r="T47" s="23"/>
      <c r="U47" s="1"/>
    </row>
    <row r="48" spans="1:21" ht="15">
      <c r="A48" s="1"/>
      <c r="B48" s="22"/>
      <c r="C48" s="22"/>
      <c r="D48" s="76"/>
      <c r="E48" s="76"/>
      <c r="F48" s="75">
        <v>0</v>
      </c>
      <c r="G48" s="75">
        <v>0</v>
      </c>
      <c r="H48" s="75">
        <v>0</v>
      </c>
      <c r="I48" s="76"/>
      <c r="J48" s="75">
        <v>0</v>
      </c>
      <c r="K48" s="75">
        <v>4</v>
      </c>
      <c r="L48" s="75">
        <v>0</v>
      </c>
      <c r="M48" s="23"/>
      <c r="N48" s="23"/>
      <c r="O48" s="23"/>
      <c r="P48" s="23"/>
      <c r="Q48" s="23"/>
      <c r="R48" s="23"/>
      <c r="S48" s="23"/>
      <c r="T48" s="23"/>
      <c r="U48" s="1"/>
    </row>
    <row r="49" spans="1:21" ht="15">
      <c r="A49" s="1"/>
      <c r="B49" s="22"/>
      <c r="C49" s="22"/>
      <c r="D49" s="79" t="s">
        <v>66</v>
      </c>
      <c r="E49" s="80">
        <v>-36</v>
      </c>
      <c r="F49" s="75">
        <v>-35</v>
      </c>
      <c r="G49" s="75">
        <v>-35</v>
      </c>
      <c r="H49" s="75">
        <v>-36</v>
      </c>
      <c r="I49" s="80">
        <v>-35</v>
      </c>
      <c r="J49" s="75">
        <v>-35</v>
      </c>
      <c r="K49" s="75">
        <v>-35</v>
      </c>
      <c r="L49" s="75">
        <v>-35</v>
      </c>
      <c r="M49" s="23"/>
      <c r="N49" s="23"/>
      <c r="O49" s="23"/>
      <c r="P49" s="23"/>
      <c r="Q49" s="23"/>
      <c r="R49" s="23"/>
      <c r="S49" s="23"/>
      <c r="T49" s="23"/>
      <c r="U49" s="1"/>
    </row>
    <row r="50" spans="1:21" ht="15.75" thickBot="1">
      <c r="A50" s="1"/>
      <c r="B50" s="22"/>
      <c r="C50" s="22"/>
      <c r="D50" s="79" t="s">
        <v>67</v>
      </c>
      <c r="E50" s="84">
        <v>-18</v>
      </c>
      <c r="F50" s="75">
        <v>-7</v>
      </c>
      <c r="G50" s="75">
        <v>-2</v>
      </c>
      <c r="H50" s="75">
        <v>-8</v>
      </c>
      <c r="I50" s="84">
        <v>-22</v>
      </c>
      <c r="J50" s="75">
        <v>-2</v>
      </c>
      <c r="K50" s="75">
        <v>1</v>
      </c>
      <c r="L50" s="75">
        <v>-5</v>
      </c>
      <c r="M50" s="23"/>
      <c r="N50" s="23"/>
      <c r="O50" s="23"/>
      <c r="P50" s="23"/>
      <c r="Q50" s="23"/>
      <c r="R50" s="23"/>
      <c r="S50" s="23"/>
      <c r="T50" s="23"/>
      <c r="U50" s="1"/>
    </row>
    <row r="51" spans="1:21" ht="15.75" thickBot="1">
      <c r="A51" s="1"/>
      <c r="B51" s="22"/>
      <c r="C51" s="22"/>
      <c r="D51" s="85" t="s">
        <v>68</v>
      </c>
      <c r="E51" s="86">
        <f>SUM(E42:E50)</f>
        <v>-3</v>
      </c>
      <c r="F51" s="86">
        <f t="shared" ref="F51:L51" si="13">SUM(F42:F50)</f>
        <v>-212</v>
      </c>
      <c r="G51" s="86">
        <f t="shared" si="13"/>
        <v>-108</v>
      </c>
      <c r="H51" s="86">
        <f t="shared" si="13"/>
        <v>-60</v>
      </c>
      <c r="I51" s="86">
        <f t="shared" si="13"/>
        <v>-153</v>
      </c>
      <c r="J51" s="86">
        <f t="shared" si="13"/>
        <v>-65</v>
      </c>
      <c r="K51" s="86">
        <f t="shared" si="13"/>
        <v>-30</v>
      </c>
      <c r="L51" s="86">
        <f t="shared" si="13"/>
        <v>-172</v>
      </c>
      <c r="M51" s="86">
        <f t="shared" ref="M51" si="14">SUM(M42:M50)</f>
        <v>0</v>
      </c>
      <c r="N51" s="86">
        <f t="shared" ref="N51" si="15">SUM(N42:N50)</f>
        <v>0</v>
      </c>
      <c r="O51" s="86">
        <f t="shared" ref="O51" si="16">SUM(O42:O50)</f>
        <v>0</v>
      </c>
      <c r="P51" s="86">
        <f t="shared" ref="P51" si="17">SUM(P42:P50)</f>
        <v>0</v>
      </c>
      <c r="Q51" s="86">
        <f t="shared" ref="Q51" si="18">SUM(Q42:Q50)</f>
        <v>0</v>
      </c>
      <c r="R51" s="86">
        <f t="shared" ref="R51" si="19">SUM(R42:R50)</f>
        <v>0</v>
      </c>
      <c r="S51" s="86">
        <f t="shared" ref="S51" si="20">SUM(S42:S50)</f>
        <v>0</v>
      </c>
      <c r="T51" s="86">
        <f t="shared" ref="T51" si="21">SUM(T42:T50)</f>
        <v>0</v>
      </c>
      <c r="U51" s="1"/>
    </row>
    <row r="52" spans="1:21" s="75" customFormat="1" ht="15">
      <c r="A52" s="1"/>
      <c r="B52" s="22"/>
      <c r="C52" s="22"/>
      <c r="D52" s="74"/>
      <c r="E52" s="84">
        <f>E51+E39+E28</f>
        <v>-129</v>
      </c>
      <c r="F52" s="84">
        <f t="shared" ref="F52:T52" si="22">F51+F39+F28</f>
        <v>257</v>
      </c>
      <c r="G52" s="84">
        <f t="shared" si="22"/>
        <v>-288</v>
      </c>
      <c r="H52" s="84">
        <f t="shared" si="22"/>
        <v>389</v>
      </c>
      <c r="I52" s="84">
        <f t="shared" si="22"/>
        <v>-217</v>
      </c>
      <c r="J52" s="84">
        <f t="shared" si="22"/>
        <v>189</v>
      </c>
      <c r="K52" s="84">
        <f t="shared" si="22"/>
        <v>224</v>
      </c>
      <c r="L52" s="84">
        <f t="shared" si="22"/>
        <v>-97</v>
      </c>
      <c r="M52" s="84">
        <f t="shared" si="22"/>
        <v>0</v>
      </c>
      <c r="N52" s="84">
        <f t="shared" si="22"/>
        <v>0</v>
      </c>
      <c r="O52" s="84">
        <f t="shared" si="22"/>
        <v>0</v>
      </c>
      <c r="P52" s="84">
        <f t="shared" si="22"/>
        <v>0</v>
      </c>
      <c r="Q52" s="84">
        <f t="shared" si="22"/>
        <v>0</v>
      </c>
      <c r="R52" s="84">
        <f t="shared" si="22"/>
        <v>0</v>
      </c>
      <c r="S52" s="84">
        <f t="shared" si="22"/>
        <v>0</v>
      </c>
      <c r="T52" s="84">
        <f t="shared" si="22"/>
        <v>0</v>
      </c>
      <c r="U52" s="1"/>
    </row>
    <row r="53" spans="1:21" ht="15.75" thickBot="1">
      <c r="A53" s="1"/>
      <c r="B53" s="22"/>
      <c r="C53" s="22"/>
      <c r="D53" s="79" t="s">
        <v>69</v>
      </c>
      <c r="E53" s="82">
        <v>-6</v>
      </c>
      <c r="F53" s="75">
        <v>0</v>
      </c>
      <c r="G53" s="75">
        <v>-17</v>
      </c>
      <c r="H53" s="75">
        <v>-12</v>
      </c>
      <c r="I53" s="82">
        <v>-5</v>
      </c>
      <c r="J53" s="75">
        <v>4</v>
      </c>
      <c r="K53" s="75">
        <v>-18</v>
      </c>
      <c r="L53" s="75">
        <v>13</v>
      </c>
      <c r="M53" s="23"/>
      <c r="N53" s="23"/>
      <c r="O53" s="23"/>
      <c r="P53" s="23"/>
      <c r="Q53" s="23"/>
      <c r="R53" s="23"/>
      <c r="S53" s="23"/>
      <c r="T53" s="23"/>
      <c r="U53" s="1"/>
    </row>
    <row r="54" spans="1:21" ht="15">
      <c r="A54" s="1"/>
      <c r="B54" s="22"/>
      <c r="C54" s="22"/>
      <c r="D54" s="87" t="s">
        <v>70</v>
      </c>
      <c r="E54" s="88">
        <v>-135</v>
      </c>
      <c r="F54" s="89">
        <v>-48</v>
      </c>
      <c r="G54" s="89">
        <v>0</v>
      </c>
      <c r="H54" s="89">
        <v>377</v>
      </c>
      <c r="I54" s="88">
        <v>-222</v>
      </c>
      <c r="J54" s="89">
        <v>193</v>
      </c>
      <c r="K54" s="89">
        <v>206</v>
      </c>
      <c r="L54" s="89">
        <v>-84</v>
      </c>
      <c r="M54" s="23"/>
      <c r="N54" s="23"/>
      <c r="O54" s="23"/>
      <c r="P54" s="23"/>
      <c r="Q54" s="23"/>
      <c r="R54" s="23"/>
      <c r="S54" s="23"/>
      <c r="T54" s="23"/>
      <c r="U54" s="1"/>
    </row>
    <row r="55" spans="1:21" s="47" customFormat="1" ht="15.75" thickBot="1">
      <c r="A55" s="1"/>
      <c r="B55" s="22"/>
      <c r="C55" s="22"/>
      <c r="D55" s="87" t="s">
        <v>71</v>
      </c>
      <c r="E55" s="90">
        <v>545</v>
      </c>
      <c r="F55" s="89">
        <v>0</v>
      </c>
      <c r="G55" s="89">
        <v>0</v>
      </c>
      <c r="H55" s="89">
        <v>0</v>
      </c>
      <c r="I55" s="90">
        <v>739</v>
      </c>
      <c r="J55" s="89">
        <v>0</v>
      </c>
      <c r="K55" s="89">
        <v>0</v>
      </c>
      <c r="L55" s="89">
        <v>0</v>
      </c>
      <c r="M55" s="23"/>
      <c r="N55" s="23"/>
      <c r="O55" s="23"/>
      <c r="P55" s="23"/>
      <c r="Q55" s="23"/>
      <c r="R55" s="23"/>
      <c r="S55" s="23"/>
      <c r="T55" s="23"/>
      <c r="U55" s="1"/>
    </row>
    <row r="56" spans="1:21" ht="15">
      <c r="A56" s="1"/>
      <c r="B56" s="22"/>
      <c r="C56" s="22"/>
      <c r="D56" s="87" t="s">
        <v>72</v>
      </c>
      <c r="E56" s="88">
        <v>410</v>
      </c>
      <c r="F56" s="89">
        <v>-48</v>
      </c>
      <c r="G56" s="89">
        <v>0</v>
      </c>
      <c r="H56" s="89">
        <v>377</v>
      </c>
      <c r="I56" s="88">
        <v>517</v>
      </c>
      <c r="J56" s="89">
        <v>193</v>
      </c>
      <c r="K56" s="89">
        <v>206</v>
      </c>
      <c r="L56" s="89">
        <v>-84</v>
      </c>
      <c r="M56" s="23"/>
      <c r="N56" s="23"/>
      <c r="O56" s="23"/>
      <c r="P56" s="23"/>
      <c r="Q56" s="23"/>
      <c r="R56" s="23"/>
      <c r="S56" s="23"/>
      <c r="T56" s="23"/>
      <c r="U56" s="1"/>
    </row>
    <row r="57" spans="1:21" s="75" customFormat="1" ht="15">
      <c r="A57" s="1"/>
      <c r="B57" s="22"/>
      <c r="C57" s="22"/>
      <c r="D57" s="87"/>
      <c r="E57" s="91"/>
      <c r="F57" s="89"/>
      <c r="G57" s="89"/>
      <c r="H57" s="89"/>
      <c r="I57" s="91"/>
      <c r="J57" s="89"/>
      <c r="K57" s="89"/>
      <c r="L57" s="89"/>
      <c r="M57" s="23"/>
      <c r="N57" s="23"/>
      <c r="O57" s="23"/>
      <c r="P57" s="23"/>
      <c r="Q57" s="23"/>
      <c r="R57" s="23"/>
      <c r="S57" s="23"/>
      <c r="T57" s="23"/>
      <c r="U57" s="1"/>
    </row>
    <row r="58" spans="1:21" s="75" customFormat="1" ht="15">
      <c r="A58" s="1"/>
      <c r="B58" s="22"/>
      <c r="C58" s="22"/>
      <c r="D58" s="87"/>
      <c r="E58" s="91"/>
      <c r="F58" s="89"/>
      <c r="G58" s="89"/>
      <c r="H58" s="89"/>
      <c r="I58" s="91"/>
      <c r="J58" s="89"/>
      <c r="K58" s="89"/>
      <c r="L58" s="89"/>
      <c r="M58" s="23"/>
      <c r="N58" s="23"/>
      <c r="O58" s="23"/>
      <c r="P58" s="23"/>
      <c r="Q58" s="23"/>
      <c r="R58" s="23"/>
      <c r="S58" s="23"/>
      <c r="T58" s="23"/>
      <c r="U58" s="1"/>
    </row>
    <row r="59" spans="1:21" ht="15">
      <c r="A59" s="1"/>
      <c r="B59" s="22"/>
      <c r="C59" s="22"/>
      <c r="D59" s="79" t="s">
        <v>73</v>
      </c>
      <c r="E59" s="80"/>
      <c r="F59" s="75">
        <v>0</v>
      </c>
      <c r="G59" s="75">
        <v>0</v>
      </c>
      <c r="H59" s="75">
        <v>0</v>
      </c>
      <c r="I59" s="77"/>
      <c r="J59" s="75">
        <v>0</v>
      </c>
      <c r="K59" s="75">
        <v>0</v>
      </c>
      <c r="L59" s="75">
        <v>0</v>
      </c>
      <c r="M59" s="23"/>
      <c r="N59" s="23"/>
      <c r="O59" s="23"/>
      <c r="P59" s="23"/>
      <c r="Q59" s="23"/>
      <c r="R59" s="23"/>
      <c r="S59" s="23"/>
      <c r="T59" s="23"/>
      <c r="U59" s="1"/>
    </row>
    <row r="60" spans="1:21" ht="15">
      <c r="A60" s="1"/>
      <c r="B60" s="22"/>
      <c r="C60" s="22"/>
      <c r="D60" s="79" t="s">
        <v>74</v>
      </c>
      <c r="E60" s="80"/>
      <c r="F60" s="75">
        <v>0</v>
      </c>
      <c r="G60" s="75">
        <v>0</v>
      </c>
      <c r="H60" s="75">
        <v>0</v>
      </c>
      <c r="I60" s="77"/>
      <c r="J60" s="75">
        <v>0</v>
      </c>
      <c r="K60" s="75">
        <v>0</v>
      </c>
      <c r="L60" s="75">
        <v>0</v>
      </c>
      <c r="M60" s="23"/>
      <c r="N60" s="23"/>
      <c r="O60" s="23"/>
      <c r="P60" s="23"/>
      <c r="Q60" s="23"/>
      <c r="R60" s="23"/>
      <c r="S60" s="23"/>
      <c r="T60" s="23"/>
      <c r="U60" s="1"/>
    </row>
    <row r="61" spans="1:21" s="7" customFormat="1" ht="15">
      <c r="A61" s="6"/>
      <c r="B61" s="27"/>
      <c r="C61" s="27"/>
      <c r="D61" s="79" t="s">
        <v>75</v>
      </c>
      <c r="E61" s="80">
        <v>31</v>
      </c>
      <c r="F61" s="75">
        <v>8</v>
      </c>
      <c r="G61" s="75">
        <v>28</v>
      </c>
      <c r="H61" s="75">
        <v>17</v>
      </c>
      <c r="I61" s="80">
        <v>26</v>
      </c>
      <c r="J61" s="75">
        <v>7</v>
      </c>
      <c r="K61" s="75">
        <v>25</v>
      </c>
      <c r="L61" s="75">
        <v>14</v>
      </c>
      <c r="M61" s="24"/>
      <c r="N61" s="24"/>
      <c r="O61" s="24"/>
      <c r="P61" s="24"/>
      <c r="Q61" s="24"/>
      <c r="R61" s="24"/>
      <c r="S61" s="24"/>
      <c r="T61" s="24"/>
      <c r="U61" s="6"/>
    </row>
    <row r="62" spans="1:21" ht="15">
      <c r="A62" s="1"/>
      <c r="B62" s="22"/>
      <c r="C62" s="22"/>
      <c r="D62" s="79" t="s">
        <v>76</v>
      </c>
      <c r="E62" s="80">
        <v>80</v>
      </c>
      <c r="F62" s="75">
        <v>106</v>
      </c>
      <c r="G62" s="75">
        <v>81</v>
      </c>
      <c r="H62" s="75">
        <v>49</v>
      </c>
      <c r="I62" s="80">
        <v>68</v>
      </c>
      <c r="J62" s="75">
        <v>21</v>
      </c>
      <c r="K62" s="75">
        <v>59</v>
      </c>
      <c r="L62" s="75">
        <v>95</v>
      </c>
      <c r="M62" s="23"/>
      <c r="N62" s="23"/>
      <c r="O62" s="23"/>
      <c r="P62" s="23"/>
      <c r="Q62" s="23"/>
      <c r="R62" s="23"/>
      <c r="S62" s="23"/>
      <c r="T62" s="23"/>
      <c r="U62" s="1"/>
    </row>
    <row r="63" spans="1:21" ht="15">
      <c r="A63" s="1"/>
      <c r="B63" s="22"/>
      <c r="C63" s="22"/>
      <c r="D63" s="53" t="s">
        <v>74</v>
      </c>
      <c r="E63" s="54"/>
      <c r="F63" s="47">
        <v>39</v>
      </c>
      <c r="G63" s="47">
        <v>-39</v>
      </c>
      <c r="H63" s="47">
        <v>0</v>
      </c>
      <c r="I63" s="50"/>
      <c r="J63" s="47">
        <v>0</v>
      </c>
      <c r="K63" s="47">
        <v>0</v>
      </c>
      <c r="L63" s="47">
        <v>0</v>
      </c>
      <c r="M63" s="23"/>
      <c r="N63" s="23"/>
      <c r="O63" s="23"/>
      <c r="P63" s="23"/>
      <c r="Q63" s="23"/>
      <c r="R63" s="23"/>
      <c r="S63" s="23"/>
      <c r="T63" s="23"/>
      <c r="U63" s="1"/>
    </row>
    <row r="64" spans="1:21" ht="15">
      <c r="A64" s="1"/>
      <c r="B64" s="22"/>
      <c r="C64" s="22"/>
      <c r="D64" s="53" t="s">
        <v>75</v>
      </c>
      <c r="E64" s="54">
        <v>31</v>
      </c>
      <c r="F64" s="47">
        <v>155</v>
      </c>
      <c r="G64" s="47">
        <v>-119</v>
      </c>
      <c r="H64" s="47">
        <v>17</v>
      </c>
      <c r="I64" s="54">
        <v>26</v>
      </c>
      <c r="J64" s="47">
        <v>7</v>
      </c>
      <c r="K64" s="47">
        <v>25</v>
      </c>
      <c r="L64" s="47">
        <v>14</v>
      </c>
      <c r="M64" s="23"/>
      <c r="N64" s="23"/>
      <c r="O64" s="23"/>
      <c r="P64" s="23"/>
      <c r="Q64" s="23"/>
      <c r="R64" s="23"/>
      <c r="S64" s="23"/>
      <c r="T64" s="23"/>
      <c r="U64" s="1"/>
    </row>
    <row r="65" spans="1:21" ht="15">
      <c r="A65" s="1"/>
      <c r="B65" s="22"/>
      <c r="C65" s="22"/>
      <c r="D65" s="53" t="s">
        <v>76</v>
      </c>
      <c r="E65" s="54">
        <v>80</v>
      </c>
      <c r="F65" s="47">
        <v>-80</v>
      </c>
      <c r="G65" s="47">
        <v>267</v>
      </c>
      <c r="H65" s="47">
        <v>49</v>
      </c>
      <c r="I65" s="54">
        <v>68</v>
      </c>
      <c r="J65" s="47">
        <v>21</v>
      </c>
      <c r="K65" s="47">
        <v>59</v>
      </c>
      <c r="L65" s="47">
        <v>95</v>
      </c>
      <c r="M65" s="23"/>
      <c r="N65" s="23"/>
      <c r="O65" s="23"/>
      <c r="P65" s="23"/>
      <c r="Q65" s="23"/>
      <c r="R65" s="23"/>
      <c r="S65" s="23"/>
      <c r="T65" s="23"/>
      <c r="U65" s="1"/>
    </row>
    <row r="66" spans="1:21" ht="15">
      <c r="A66" s="1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3"/>
      <c r="N66" s="23"/>
      <c r="O66" s="23"/>
      <c r="P66" s="23"/>
      <c r="Q66" s="23"/>
      <c r="R66" s="23"/>
      <c r="S66" s="23"/>
      <c r="T66" s="23"/>
      <c r="U66" s="1"/>
    </row>
    <row r="67" spans="1:21" ht="15">
      <c r="A67" s="1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3"/>
      <c r="N67" s="23"/>
      <c r="O67" s="23"/>
      <c r="P67" s="23"/>
      <c r="Q67" s="23"/>
      <c r="R67" s="23"/>
      <c r="S67" s="23"/>
      <c r="T67" s="23"/>
      <c r="U67" s="1"/>
    </row>
    <row r="68" spans="1:21" ht="15">
      <c r="A68" s="1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3"/>
      <c r="N68" s="23"/>
      <c r="O68" s="23"/>
      <c r="P68" s="23"/>
      <c r="Q68" s="23"/>
      <c r="R68" s="23"/>
      <c r="S68" s="23"/>
      <c r="T68" s="23"/>
      <c r="U68" s="1"/>
    </row>
    <row r="69" spans="1:21" ht="15">
      <c r="A69" s="1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3"/>
      <c r="N69" s="23"/>
      <c r="O69" s="23"/>
      <c r="P69" s="23"/>
      <c r="Q69" s="23"/>
      <c r="R69" s="23"/>
      <c r="S69" s="23"/>
      <c r="T69" s="23"/>
      <c r="U69" s="1"/>
    </row>
    <row r="70" spans="1:21" ht="15">
      <c r="A70" s="1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3"/>
      <c r="N70" s="23"/>
      <c r="O70" s="23"/>
      <c r="P70" s="23"/>
      <c r="Q70" s="23"/>
      <c r="R70" s="23"/>
      <c r="S70" s="23"/>
      <c r="T70" s="23"/>
      <c r="U70" s="1"/>
    </row>
    <row r="71" spans="1:21" ht="15">
      <c r="A71" s="1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3"/>
      <c r="N71" s="23"/>
      <c r="O71" s="23"/>
      <c r="P71" s="23"/>
      <c r="Q71" s="23"/>
      <c r="R71" s="23"/>
      <c r="S71" s="23"/>
      <c r="T71" s="23"/>
      <c r="U71" s="1"/>
    </row>
    <row r="72" spans="1:21" ht="15">
      <c r="A72" s="1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3"/>
      <c r="N72" s="23"/>
      <c r="O72" s="23"/>
      <c r="P72" s="23"/>
      <c r="Q72" s="23"/>
      <c r="R72" s="23"/>
      <c r="S72" s="23"/>
      <c r="T72" s="23"/>
      <c r="U72" s="1"/>
    </row>
    <row r="73" spans="1:21" ht="15">
      <c r="A73" s="1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3"/>
      <c r="N73" s="23"/>
      <c r="O73" s="23"/>
      <c r="P73" s="23"/>
      <c r="Q73" s="23"/>
      <c r="R73" s="23"/>
      <c r="S73" s="23"/>
      <c r="T73" s="23"/>
      <c r="U73" s="1"/>
    </row>
    <row r="74" spans="1:21" ht="15">
      <c r="A74" s="1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3"/>
      <c r="N74" s="23"/>
      <c r="O74" s="23"/>
      <c r="P74" s="23"/>
      <c r="Q74" s="23"/>
      <c r="R74" s="23"/>
      <c r="S74" s="23"/>
      <c r="T74" s="23"/>
      <c r="U74" s="1"/>
    </row>
    <row r="75" spans="1:21" ht="15">
      <c r="A75" s="1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3"/>
      <c r="N75" s="23"/>
      <c r="O75" s="23"/>
      <c r="P75" s="23"/>
      <c r="Q75" s="23"/>
      <c r="R75" s="23"/>
      <c r="S75" s="23"/>
      <c r="T75" s="23"/>
      <c r="U75" s="1"/>
    </row>
    <row r="76" spans="1:21" ht="15">
      <c r="A76" s="1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3"/>
      <c r="N76" s="23"/>
      <c r="O76" s="23"/>
      <c r="P76" s="23"/>
      <c r="Q76" s="23"/>
      <c r="R76" s="23"/>
      <c r="S76" s="23"/>
      <c r="T76" s="23"/>
      <c r="U76" s="1"/>
    </row>
    <row r="77" spans="1:21" ht="15">
      <c r="A77" s="1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3"/>
      <c r="N77" s="23"/>
      <c r="O77" s="23"/>
      <c r="P77" s="23"/>
      <c r="Q77" s="23"/>
      <c r="R77" s="23"/>
      <c r="S77" s="23"/>
      <c r="T77" s="23"/>
      <c r="U77" s="1"/>
    </row>
    <row r="78" spans="1:21" ht="15">
      <c r="A78" s="1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3"/>
      <c r="N78" s="23"/>
      <c r="O78" s="23"/>
      <c r="P78" s="23"/>
      <c r="Q78" s="23"/>
      <c r="R78" s="23"/>
      <c r="S78" s="23"/>
      <c r="T78" s="23"/>
      <c r="U78" s="1"/>
    </row>
    <row r="79" spans="1:21" ht="15">
      <c r="A79" s="1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3"/>
      <c r="N79" s="23"/>
      <c r="O79" s="23"/>
      <c r="P79" s="23"/>
      <c r="Q79" s="23"/>
      <c r="R79" s="23"/>
      <c r="S79" s="23"/>
      <c r="T79" s="23"/>
      <c r="U79" s="1"/>
    </row>
    <row r="80" spans="1:21" ht="15">
      <c r="A80" s="1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3"/>
      <c r="N80" s="23"/>
      <c r="O80" s="23"/>
      <c r="P80" s="23"/>
      <c r="Q80" s="23"/>
      <c r="R80" s="23"/>
      <c r="S80" s="23"/>
      <c r="T80" s="23"/>
      <c r="U80" s="1"/>
    </row>
    <row r="81" spans="1:21" ht="15">
      <c r="A81" s="1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3"/>
      <c r="N81" s="23"/>
      <c r="O81" s="23"/>
      <c r="P81" s="23"/>
      <c r="Q81" s="23"/>
      <c r="R81" s="23"/>
      <c r="S81" s="23"/>
      <c r="T81" s="23"/>
      <c r="U81" s="1"/>
    </row>
    <row r="82" spans="1:21" ht="15">
      <c r="A82" s="1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3"/>
      <c r="N82" s="23"/>
      <c r="O82" s="23"/>
      <c r="P82" s="23"/>
      <c r="Q82" s="23"/>
      <c r="R82" s="23"/>
      <c r="S82" s="23"/>
      <c r="T82" s="23"/>
      <c r="U82" s="1"/>
    </row>
    <row r="83" spans="1:21" ht="15">
      <c r="A83" s="1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3"/>
      <c r="N83" s="23"/>
      <c r="O83" s="23"/>
      <c r="P83" s="23"/>
      <c r="Q83" s="23"/>
      <c r="R83" s="23"/>
      <c r="S83" s="23"/>
      <c r="T83" s="23"/>
      <c r="U83" s="1"/>
    </row>
    <row r="84" spans="1:21" ht="15">
      <c r="A84" s="1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3"/>
      <c r="N84" s="23"/>
      <c r="O84" s="23"/>
      <c r="P84" s="23"/>
      <c r="Q84" s="23"/>
      <c r="R84" s="23"/>
      <c r="S84" s="23"/>
      <c r="T84" s="23"/>
      <c r="U84" s="1"/>
    </row>
    <row r="85" spans="1:21" ht="15">
      <c r="A85" s="1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3"/>
      <c r="N85" s="23"/>
      <c r="O85" s="23"/>
      <c r="P85" s="23"/>
      <c r="Q85" s="23"/>
      <c r="R85" s="23"/>
      <c r="S85" s="23"/>
      <c r="T85" s="23"/>
      <c r="U85" s="1"/>
    </row>
    <row r="86" spans="1:21" ht="15">
      <c r="A86" s="1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3"/>
      <c r="N86" s="23"/>
      <c r="O86" s="23"/>
      <c r="P86" s="23"/>
      <c r="Q86" s="23"/>
      <c r="R86" s="23"/>
      <c r="S86" s="23"/>
      <c r="T86" s="23"/>
      <c r="U86" s="1"/>
    </row>
    <row r="87" spans="1:21" ht="15">
      <c r="A87" s="1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3"/>
      <c r="N87" s="23"/>
      <c r="O87" s="23"/>
      <c r="P87" s="23"/>
      <c r="Q87" s="23"/>
      <c r="R87" s="23"/>
      <c r="S87" s="23"/>
      <c r="T87" s="23"/>
      <c r="U87" s="1"/>
    </row>
    <row r="88" spans="1:21" ht="15">
      <c r="A88" s="1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3"/>
      <c r="N88" s="23"/>
      <c r="O88" s="23"/>
      <c r="P88" s="23"/>
      <c r="Q88" s="23"/>
      <c r="R88" s="23"/>
      <c r="S88" s="23"/>
      <c r="T88" s="23"/>
      <c r="U88" s="1"/>
    </row>
    <row r="89" spans="1:21" ht="15">
      <c r="A89" s="1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3"/>
      <c r="N89" s="23"/>
      <c r="O89" s="23"/>
      <c r="P89" s="23"/>
      <c r="Q89" s="23"/>
      <c r="R89" s="23"/>
      <c r="S89" s="23"/>
      <c r="T89" s="23"/>
      <c r="U89" s="1"/>
    </row>
    <row r="90" spans="1:21" ht="15">
      <c r="A90" s="1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3"/>
      <c r="N90" s="23"/>
      <c r="O90" s="23"/>
      <c r="P90" s="23"/>
      <c r="Q90" s="23"/>
      <c r="R90" s="23"/>
      <c r="S90" s="23"/>
      <c r="T90" s="23"/>
      <c r="U90" s="1"/>
    </row>
    <row r="91" spans="1:21" ht="15">
      <c r="A91" s="1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3"/>
      <c r="N91" s="23"/>
      <c r="O91" s="23"/>
      <c r="P91" s="23"/>
      <c r="Q91" s="23"/>
      <c r="R91" s="23"/>
      <c r="S91" s="23"/>
      <c r="T91" s="23"/>
      <c r="U91" s="1"/>
    </row>
    <row r="92" spans="1:21" ht="15">
      <c r="A92" s="1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3"/>
      <c r="N92" s="23"/>
      <c r="O92" s="23"/>
      <c r="P92" s="23"/>
      <c r="Q92" s="23"/>
      <c r="R92" s="23"/>
      <c r="S92" s="23"/>
      <c r="T92" s="23"/>
      <c r="U92" s="1"/>
    </row>
    <row r="93" spans="1:21" ht="15">
      <c r="A93" s="1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3"/>
      <c r="N93" s="23"/>
      <c r="O93" s="23"/>
      <c r="P93" s="23"/>
      <c r="Q93" s="23"/>
      <c r="R93" s="23"/>
      <c r="S93" s="23"/>
      <c r="T93" s="23"/>
      <c r="U93" s="1"/>
    </row>
    <row r="94" spans="1:21" ht="15">
      <c r="A94" s="1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3"/>
      <c r="N94" s="23"/>
      <c r="O94" s="23"/>
      <c r="P94" s="23"/>
      <c r="Q94" s="23"/>
      <c r="R94" s="23"/>
      <c r="S94" s="23"/>
      <c r="T94" s="23"/>
      <c r="U94" s="1"/>
    </row>
    <row r="95" spans="1:21" ht="15">
      <c r="A95" s="1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3"/>
      <c r="N95" s="23"/>
      <c r="O95" s="23"/>
      <c r="P95" s="23"/>
      <c r="Q95" s="23"/>
      <c r="R95" s="23"/>
      <c r="S95" s="23"/>
      <c r="T95" s="23"/>
      <c r="U95" s="1"/>
    </row>
    <row r="96" spans="1:21" ht="15">
      <c r="A96" s="1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3"/>
      <c r="N96" s="23"/>
      <c r="O96" s="23"/>
      <c r="P96" s="23"/>
      <c r="Q96" s="23"/>
      <c r="R96" s="23"/>
      <c r="S96" s="23"/>
      <c r="T96" s="23"/>
      <c r="U96" s="1"/>
    </row>
    <row r="97" spans="1:21" ht="15">
      <c r="A97" s="1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3"/>
      <c r="N97" s="23"/>
      <c r="O97" s="23"/>
      <c r="P97" s="23"/>
      <c r="Q97" s="23"/>
      <c r="R97" s="23"/>
      <c r="S97" s="23"/>
      <c r="T97" s="23"/>
      <c r="U97" s="1"/>
    </row>
    <row r="98" spans="1:21" ht="15">
      <c r="A98" s="1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3"/>
      <c r="N98" s="23"/>
      <c r="O98" s="23"/>
      <c r="P98" s="23"/>
      <c r="Q98" s="23"/>
      <c r="R98" s="23"/>
      <c r="S98" s="23"/>
      <c r="T98" s="23"/>
      <c r="U98" s="1"/>
    </row>
    <row r="99" spans="1:21" ht="15">
      <c r="A99" s="1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3"/>
      <c r="N99" s="23"/>
      <c r="O99" s="23"/>
      <c r="P99" s="23"/>
      <c r="Q99" s="23"/>
      <c r="R99" s="23"/>
      <c r="S99" s="23"/>
      <c r="T99" s="23"/>
      <c r="U99" s="1"/>
    </row>
    <row r="100" spans="1:21" ht="15">
      <c r="A100" s="1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3"/>
      <c r="N100" s="23"/>
      <c r="O100" s="23"/>
      <c r="P100" s="23"/>
      <c r="Q100" s="23"/>
      <c r="R100" s="23"/>
      <c r="S100" s="23"/>
      <c r="T100" s="23"/>
      <c r="U100" s="1"/>
    </row>
    <row r="101" spans="1:21" ht="15">
      <c r="A101" s="1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3"/>
      <c r="N101" s="23"/>
      <c r="O101" s="23"/>
      <c r="P101" s="23"/>
      <c r="Q101" s="23"/>
      <c r="R101" s="23"/>
      <c r="S101" s="23"/>
      <c r="T101" s="23"/>
      <c r="U101" s="1"/>
    </row>
    <row r="102" spans="1:21" ht="15">
      <c r="A102" s="1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3"/>
      <c r="N102" s="23"/>
      <c r="O102" s="23"/>
      <c r="P102" s="23"/>
      <c r="Q102" s="23"/>
      <c r="R102" s="23"/>
      <c r="S102" s="23"/>
      <c r="T102" s="23"/>
      <c r="U102" s="1"/>
    </row>
    <row r="103" spans="1:21" ht="15">
      <c r="A103" s="1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3"/>
      <c r="N103" s="23"/>
      <c r="O103" s="23"/>
      <c r="P103" s="23"/>
      <c r="Q103" s="23"/>
      <c r="R103" s="23"/>
      <c r="S103" s="23"/>
      <c r="T103" s="23"/>
      <c r="U103" s="1"/>
    </row>
    <row r="104" spans="1:21" ht="15">
      <c r="A104" s="1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3"/>
      <c r="N104" s="23"/>
      <c r="O104" s="23"/>
      <c r="P104" s="23"/>
      <c r="Q104" s="23"/>
      <c r="R104" s="23"/>
      <c r="S104" s="23"/>
      <c r="T104" s="23"/>
      <c r="U104" s="1"/>
    </row>
    <row r="105" spans="1:21" ht="15">
      <c r="A105" s="1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3"/>
      <c r="N105" s="23"/>
      <c r="O105" s="23"/>
      <c r="P105" s="23"/>
      <c r="Q105" s="23"/>
      <c r="R105" s="23"/>
      <c r="S105" s="23"/>
      <c r="T105" s="23"/>
      <c r="U105" s="1"/>
    </row>
    <row r="106" spans="1:21" ht="15">
      <c r="A106" s="1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3"/>
      <c r="N106" s="23"/>
      <c r="O106" s="23"/>
      <c r="P106" s="23"/>
      <c r="Q106" s="23"/>
      <c r="R106" s="23"/>
      <c r="S106" s="23"/>
      <c r="T106" s="23"/>
      <c r="U106" s="1"/>
    </row>
    <row r="107" spans="1:21" ht="15">
      <c r="A107" s="1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3"/>
      <c r="N107" s="23"/>
      <c r="O107" s="23"/>
      <c r="P107" s="23"/>
      <c r="Q107" s="23"/>
      <c r="R107" s="23"/>
      <c r="S107" s="23"/>
      <c r="T107" s="23"/>
      <c r="U107" s="1"/>
    </row>
    <row r="108" spans="1:21" ht="15">
      <c r="A108" s="1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3"/>
      <c r="N108" s="23"/>
      <c r="O108" s="23"/>
      <c r="P108" s="23"/>
      <c r="Q108" s="23"/>
      <c r="R108" s="23"/>
      <c r="S108" s="23"/>
      <c r="T108" s="23"/>
      <c r="U108" s="1"/>
    </row>
    <row r="109" spans="1:21" ht="15">
      <c r="A109" s="1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3"/>
      <c r="N109" s="23"/>
      <c r="O109" s="23"/>
      <c r="P109" s="23"/>
      <c r="Q109" s="23"/>
      <c r="R109" s="23"/>
      <c r="S109" s="23"/>
      <c r="T109" s="23"/>
      <c r="U109" s="1"/>
    </row>
    <row r="110" spans="1:21" ht="15">
      <c r="A110" s="1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3"/>
      <c r="N110" s="23"/>
      <c r="O110" s="23"/>
      <c r="P110" s="23"/>
      <c r="Q110" s="23"/>
      <c r="R110" s="23"/>
      <c r="S110" s="23"/>
      <c r="T110" s="23"/>
      <c r="U110" s="1"/>
    </row>
    <row r="111" spans="1:21" ht="15">
      <c r="A111" s="1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3"/>
      <c r="N111" s="23"/>
      <c r="O111" s="23"/>
      <c r="P111" s="23"/>
      <c r="Q111" s="23"/>
      <c r="R111" s="23"/>
      <c r="S111" s="23"/>
      <c r="T111" s="23"/>
      <c r="U111" s="1"/>
    </row>
    <row r="112" spans="1:21" ht="15">
      <c r="A112" s="1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3"/>
      <c r="N112" s="23"/>
      <c r="O112" s="23"/>
      <c r="P112" s="23"/>
      <c r="Q112" s="23"/>
      <c r="R112" s="23"/>
      <c r="S112" s="23"/>
      <c r="T112" s="23"/>
      <c r="U112" s="1"/>
    </row>
    <row r="113" spans="1:21" ht="15">
      <c r="A113" s="1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3"/>
      <c r="N113" s="23"/>
      <c r="O113" s="23"/>
      <c r="P113" s="23"/>
      <c r="Q113" s="23"/>
      <c r="R113" s="23"/>
      <c r="S113" s="23"/>
      <c r="T113" s="23"/>
      <c r="U113" s="1"/>
    </row>
    <row r="114" spans="1:21" ht="15">
      <c r="A114" s="1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3"/>
      <c r="N114" s="23"/>
      <c r="O114" s="23"/>
      <c r="P114" s="23"/>
      <c r="Q114" s="23"/>
      <c r="R114" s="23"/>
      <c r="S114" s="23"/>
      <c r="T114" s="23"/>
      <c r="U114" s="1"/>
    </row>
    <row r="115" spans="1:21" ht="15">
      <c r="A115" s="1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3"/>
      <c r="N115" s="23"/>
      <c r="O115" s="23"/>
      <c r="P115" s="23"/>
      <c r="Q115" s="23"/>
      <c r="R115" s="23"/>
      <c r="S115" s="23"/>
      <c r="T115" s="23"/>
      <c r="U115" s="1"/>
    </row>
    <row r="116" spans="1:21" ht="15">
      <c r="A116" s="1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3"/>
      <c r="N116" s="23"/>
      <c r="O116" s="23"/>
      <c r="P116" s="23"/>
      <c r="Q116" s="23"/>
      <c r="R116" s="23"/>
      <c r="S116" s="23"/>
      <c r="T116" s="23"/>
      <c r="U116" s="1"/>
    </row>
    <row r="117" spans="1:21" ht="15">
      <c r="A117" s="1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3"/>
      <c r="N117" s="23"/>
      <c r="O117" s="23"/>
      <c r="P117" s="23"/>
      <c r="Q117" s="23"/>
      <c r="R117" s="23"/>
      <c r="S117" s="23"/>
      <c r="T117" s="23"/>
      <c r="U117" s="1"/>
    </row>
    <row r="118" spans="1:21" ht="15">
      <c r="A118" s="1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3"/>
      <c r="N118" s="23"/>
      <c r="O118" s="23"/>
      <c r="P118" s="23"/>
      <c r="Q118" s="23"/>
      <c r="R118" s="23"/>
      <c r="S118" s="23"/>
      <c r="T118" s="23"/>
      <c r="U118" s="1"/>
    </row>
    <row r="119" spans="1:21" ht="15">
      <c r="A119" s="1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3"/>
      <c r="N119" s="23"/>
      <c r="O119" s="23"/>
      <c r="P119" s="23"/>
      <c r="Q119" s="23"/>
      <c r="R119" s="23"/>
      <c r="S119" s="23"/>
      <c r="T119" s="23"/>
      <c r="U119" s="1"/>
    </row>
    <row r="120" spans="1:21" ht="15">
      <c r="A120" s="1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3"/>
      <c r="N120" s="23"/>
      <c r="O120" s="23"/>
      <c r="P120" s="23"/>
      <c r="Q120" s="23"/>
      <c r="R120" s="23"/>
      <c r="S120" s="23"/>
      <c r="T120" s="23"/>
      <c r="U120" s="1"/>
    </row>
    <row r="121" spans="1:21" ht="15">
      <c r="A121" s="1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3"/>
      <c r="N121" s="23"/>
      <c r="O121" s="23"/>
      <c r="P121" s="23"/>
      <c r="Q121" s="23"/>
      <c r="R121" s="23"/>
      <c r="S121" s="23"/>
      <c r="T121" s="23"/>
      <c r="U121" s="1"/>
    </row>
    <row r="122" spans="1:21" ht="15">
      <c r="A122" s="1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3"/>
      <c r="N122" s="23"/>
      <c r="O122" s="23"/>
      <c r="P122" s="23"/>
      <c r="Q122" s="23"/>
      <c r="R122" s="23"/>
      <c r="S122" s="23"/>
      <c r="T122" s="23"/>
      <c r="U122" s="1"/>
    </row>
    <row r="123" spans="1:21" ht="15">
      <c r="A123" s="1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3"/>
      <c r="N123" s="23"/>
      <c r="O123" s="23"/>
      <c r="P123" s="23"/>
      <c r="Q123" s="23"/>
      <c r="R123" s="23"/>
      <c r="S123" s="23"/>
      <c r="T123" s="23"/>
      <c r="U123" s="1"/>
    </row>
    <row r="124" spans="1:21" ht="15">
      <c r="A124" s="1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3"/>
      <c r="N124" s="23"/>
      <c r="O124" s="23"/>
      <c r="P124" s="23"/>
      <c r="Q124" s="23"/>
      <c r="R124" s="23"/>
      <c r="S124" s="23"/>
      <c r="T124" s="23"/>
      <c r="U124" s="1"/>
    </row>
    <row r="125" spans="1:21" ht="15">
      <c r="A125" s="1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3"/>
      <c r="N125" s="23"/>
      <c r="O125" s="23"/>
      <c r="P125" s="23"/>
      <c r="Q125" s="23"/>
      <c r="R125" s="23"/>
      <c r="S125" s="23"/>
      <c r="T125" s="23"/>
      <c r="U125" s="1"/>
    </row>
    <row r="126" spans="1:21" ht="15">
      <c r="A126" s="1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3"/>
      <c r="N126" s="23"/>
      <c r="O126" s="23"/>
      <c r="P126" s="23"/>
      <c r="Q126" s="23"/>
      <c r="R126" s="23"/>
      <c r="S126" s="23"/>
      <c r="T126" s="23"/>
      <c r="U126" s="1"/>
    </row>
    <row r="127" spans="1:21" ht="15">
      <c r="A127" s="1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3"/>
      <c r="N127" s="23"/>
      <c r="O127" s="23"/>
      <c r="P127" s="23"/>
      <c r="Q127" s="23"/>
      <c r="R127" s="23"/>
      <c r="S127" s="23"/>
      <c r="T127" s="23"/>
      <c r="U127" s="1"/>
    </row>
    <row r="128" spans="1:21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showGridLines="0" workbookViewId="0">
      <selection activeCell="B3" sqref="B3"/>
    </sheetView>
  </sheetViews>
  <sheetFormatPr defaultRowHeight="15"/>
  <cols>
    <col min="1" max="1" width="15.140625" bestFit="1" customWidth="1"/>
    <col min="2" max="2" width="45.28515625" bestFit="1" customWidth="1"/>
    <col min="6" max="7" width="20.7109375" customWidth="1"/>
  </cols>
  <sheetData>
    <row r="1" spans="1:7" s="16" customFormat="1">
      <c r="A1"/>
      <c r="B1"/>
      <c r="C1"/>
      <c r="D1"/>
      <c r="E1"/>
    </row>
    <row r="2" spans="1:7" s="16" customFormat="1">
      <c r="A2"/>
      <c r="B2"/>
      <c r="C2"/>
      <c r="D2"/>
      <c r="E2"/>
    </row>
    <row r="3" spans="1:7" s="16" customFormat="1" ht="16.5">
      <c r="A3" s="7" t="s">
        <v>0</v>
      </c>
      <c r="B3" s="19" t="s">
        <v>232</v>
      </c>
      <c r="C3"/>
      <c r="D3"/>
      <c r="E3"/>
      <c r="F3" s="18"/>
      <c r="G3" s="18"/>
    </row>
    <row r="4" spans="1:7" s="16" customFormat="1" ht="15.75">
      <c r="A4" s="7"/>
      <c r="B4" s="7"/>
      <c r="C4"/>
      <c r="D4"/>
      <c r="E4"/>
      <c r="F4" s="18"/>
      <c r="G4" s="18"/>
    </row>
    <row r="5" spans="1:7" s="16" customFormat="1" ht="17.25">
      <c r="A5" s="7" t="s">
        <v>1</v>
      </c>
      <c r="B5" s="20">
        <v>43800</v>
      </c>
      <c r="C5"/>
      <c r="D5"/>
      <c r="E5"/>
      <c r="F5" s="18"/>
      <c r="G5" s="18"/>
    </row>
    <row r="6" spans="1:7" s="16" customFormat="1" ht="17.25">
      <c r="A6" s="7"/>
      <c r="B6" s="21"/>
      <c r="C6"/>
      <c r="D6"/>
      <c r="E6"/>
      <c r="F6" s="18"/>
      <c r="G6" s="18"/>
    </row>
    <row r="7" spans="1:7" s="16" customFormat="1" ht="16.5">
      <c r="A7" s="7" t="s">
        <v>2</v>
      </c>
      <c r="B7" s="19" t="s">
        <v>6</v>
      </c>
      <c r="C7"/>
      <c r="D7"/>
      <c r="E7"/>
    </row>
    <row r="8" spans="1:7" s="16" customFormat="1">
      <c r="A8"/>
      <c r="B8"/>
      <c r="C8"/>
      <c r="D8"/>
      <c r="E8"/>
    </row>
    <row r="9" spans="1:7" s="16" customFormat="1">
      <c r="A9"/>
      <c r="B9"/>
      <c r="C9"/>
      <c r="D9"/>
      <c r="E9"/>
    </row>
    <row r="10" spans="1:7" s="16" customFormat="1">
      <c r="A10"/>
      <c r="B10"/>
      <c r="C10"/>
      <c r="D10"/>
      <c r="E10"/>
      <c r="F10" s="17"/>
      <c r="G10" s="17"/>
    </row>
    <row r="11" spans="1:7" s="16" customFormat="1">
      <c r="A11"/>
      <c r="B11"/>
      <c r="C11"/>
      <c r="D11"/>
      <c r="E11"/>
      <c r="F11" s="17"/>
      <c r="G11" s="17"/>
    </row>
    <row r="12" spans="1:7" s="16" customFormat="1">
      <c r="A12"/>
      <c r="B12"/>
      <c r="C12"/>
      <c r="D12"/>
      <c r="E1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122"/>
  <sheetViews>
    <sheetView showGridLines="0" tabSelected="1" workbookViewId="0">
      <selection activeCell="F13" sqref="F13"/>
    </sheetView>
  </sheetViews>
  <sheetFormatPr defaultColWidth="0" defaultRowHeight="0" customHeight="1" zeroHeight="1"/>
  <cols>
    <col min="1" max="1" width="3.7109375" style="47" customWidth="1"/>
    <col min="2" max="2" width="8.28515625" customWidth="1"/>
    <col min="3" max="3" width="8.42578125" customWidth="1"/>
    <col min="4" max="4" width="40.7109375" customWidth="1"/>
    <col min="5" max="12" width="10.7109375" customWidth="1"/>
    <col min="13" max="13" width="12.85546875" customWidth="1"/>
    <col min="14" max="14" width="11.7109375" customWidth="1"/>
    <col min="15" max="20" width="10.7109375" customWidth="1"/>
    <col min="21" max="21" width="3.7109375" style="47" customWidth="1"/>
    <col min="22" max="36" width="0" style="47" hidden="1" customWidth="1"/>
    <col min="37" max="16384" width="9.140625" style="47" hidden="1"/>
  </cols>
  <sheetData>
    <row r="1" spans="1:21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1">
      <c r="A2" s="1"/>
      <c r="B2" s="5" t="str">
        <f>Company_Name</f>
        <v>BorgWarner Inc. (BWA)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"/>
    </row>
    <row r="3" spans="1:21" ht="15.75" thickBot="1">
      <c r="A3" s="1"/>
      <c r="B3" s="2"/>
      <c r="C3" s="2"/>
      <c r="D3" s="2"/>
      <c r="E3" s="2"/>
      <c r="F3" s="2"/>
      <c r="G3" s="28" t="s">
        <v>3</v>
      </c>
      <c r="H3" s="28"/>
      <c r="I3" s="28"/>
      <c r="J3" s="28"/>
      <c r="K3" s="28"/>
      <c r="L3" s="28"/>
      <c r="M3" s="2"/>
      <c r="N3" s="2"/>
      <c r="O3" s="2"/>
      <c r="P3" s="2"/>
      <c r="Q3" s="2"/>
      <c r="R3" s="2"/>
      <c r="S3" s="2"/>
      <c r="T3" s="2"/>
      <c r="U3" s="1"/>
    </row>
    <row r="4" spans="1:21" ht="15">
      <c r="A4" s="1"/>
      <c r="B4" s="2" t="str">
        <f>Currency</f>
        <v>(expressed in millions)</v>
      </c>
      <c r="C4" s="2"/>
      <c r="D4" s="2"/>
      <c r="E4" s="49">
        <f t="shared" ref="E4:K4" si="0">EDATE(F4,-3)</f>
        <v>43160</v>
      </c>
      <c r="F4" s="49">
        <f t="shared" si="0"/>
        <v>43252</v>
      </c>
      <c r="G4" s="49">
        <f t="shared" si="0"/>
        <v>43344</v>
      </c>
      <c r="H4" s="49">
        <f t="shared" si="0"/>
        <v>43435</v>
      </c>
      <c r="I4" s="49">
        <f t="shared" si="0"/>
        <v>43525</v>
      </c>
      <c r="J4" s="49">
        <f t="shared" si="0"/>
        <v>43617</v>
      </c>
      <c r="K4" s="49">
        <f t="shared" si="0"/>
        <v>43709</v>
      </c>
      <c r="L4" s="49">
        <f>LHY</f>
        <v>43800</v>
      </c>
      <c r="M4" s="3">
        <f>EDATE(L4,3)</f>
        <v>43891</v>
      </c>
      <c r="N4" s="3">
        <f t="shared" ref="N4:T4" si="1">EDATE(M4,3)</f>
        <v>43983</v>
      </c>
      <c r="O4" s="3">
        <f t="shared" si="1"/>
        <v>44075</v>
      </c>
      <c r="P4" s="3">
        <f t="shared" si="1"/>
        <v>44166</v>
      </c>
      <c r="Q4" s="3">
        <f t="shared" si="1"/>
        <v>44256</v>
      </c>
      <c r="R4" s="3">
        <f t="shared" si="1"/>
        <v>44348</v>
      </c>
      <c r="S4" s="3">
        <f t="shared" si="1"/>
        <v>44440</v>
      </c>
      <c r="T4" s="3">
        <f t="shared" si="1"/>
        <v>44531</v>
      </c>
      <c r="U4" s="1"/>
    </row>
    <row r="5" spans="1:21" ht="15">
      <c r="A5" s="1"/>
      <c r="M5" s="57"/>
      <c r="N5" s="57"/>
      <c r="O5" s="57"/>
      <c r="P5" s="57"/>
      <c r="Q5" s="57"/>
      <c r="R5" s="57"/>
      <c r="S5" s="57"/>
      <c r="T5" s="57"/>
      <c r="U5" s="1"/>
    </row>
    <row r="6" spans="1:21" ht="15">
      <c r="A6" s="1"/>
      <c r="M6" s="57"/>
      <c r="N6" s="57"/>
      <c r="O6" s="57"/>
      <c r="P6" s="57"/>
      <c r="Q6" s="57"/>
      <c r="R6" s="57"/>
      <c r="S6" s="57"/>
      <c r="T6" s="57"/>
      <c r="U6" s="1"/>
    </row>
    <row r="7" spans="1:21" ht="15">
      <c r="A7" s="1"/>
      <c r="M7" s="57"/>
      <c r="N7" s="57"/>
      <c r="O7" s="57"/>
      <c r="P7" s="57"/>
      <c r="Q7" s="57"/>
      <c r="R7" s="57"/>
      <c r="S7" s="57"/>
      <c r="T7" s="57"/>
      <c r="U7" s="1"/>
    </row>
    <row r="8" spans="1:21" ht="15">
      <c r="A8" s="1"/>
      <c r="M8" s="57"/>
      <c r="N8" s="57"/>
      <c r="O8" s="57"/>
      <c r="P8" s="57"/>
      <c r="Q8" s="57"/>
      <c r="R8" s="57"/>
      <c r="S8" s="57"/>
      <c r="T8" s="57"/>
      <c r="U8" s="1"/>
    </row>
    <row r="9" spans="1:21" ht="15">
      <c r="A9" s="1"/>
      <c r="M9" s="57"/>
      <c r="N9" s="57"/>
      <c r="O9" s="57"/>
      <c r="P9" s="57"/>
      <c r="Q9" s="57"/>
      <c r="R9" s="57"/>
      <c r="S9" s="57"/>
      <c r="T9" s="57"/>
      <c r="U9" s="1"/>
    </row>
    <row r="10" spans="1:21" ht="15">
      <c r="A10" s="1"/>
      <c r="M10" s="57"/>
      <c r="N10" s="57"/>
      <c r="O10" s="57"/>
      <c r="P10" s="57"/>
      <c r="Q10" s="57"/>
      <c r="R10" s="57"/>
      <c r="S10" s="57"/>
      <c r="T10" s="57"/>
      <c r="U10" s="1"/>
    </row>
    <row r="11" spans="1:21" ht="15">
      <c r="A11" s="1"/>
      <c r="M11" s="57"/>
      <c r="N11" s="57"/>
      <c r="O11" s="57"/>
      <c r="P11" s="57"/>
      <c r="Q11" s="57"/>
      <c r="R11" s="57"/>
      <c r="S11" s="57"/>
      <c r="T11" s="57"/>
      <c r="U11" s="1"/>
    </row>
    <row r="12" spans="1:21" ht="15">
      <c r="A12" s="1"/>
      <c r="M12" s="57"/>
      <c r="N12" s="57"/>
      <c r="O12" s="57"/>
      <c r="P12" s="57"/>
      <c r="Q12" s="57"/>
      <c r="R12" s="57"/>
      <c r="S12" s="57"/>
      <c r="T12" s="57"/>
      <c r="U12" s="1"/>
    </row>
    <row r="13" spans="1:21" ht="15">
      <c r="A13" s="1"/>
      <c r="M13" s="57"/>
      <c r="N13" s="57"/>
      <c r="O13" s="57"/>
      <c r="P13" s="57"/>
      <c r="Q13" s="57"/>
      <c r="R13" s="57"/>
      <c r="S13" s="57"/>
      <c r="T13" s="57"/>
      <c r="U13" s="1"/>
    </row>
    <row r="14" spans="1:21" ht="15">
      <c r="A14" s="1"/>
      <c r="M14" s="57"/>
      <c r="N14" s="57"/>
      <c r="O14" s="57"/>
      <c r="P14" s="57"/>
      <c r="Q14" s="57"/>
      <c r="R14" s="57"/>
      <c r="S14" s="57"/>
      <c r="T14" s="57"/>
      <c r="U14" s="1"/>
    </row>
    <row r="15" spans="1:21" ht="15">
      <c r="A15" s="1"/>
      <c r="M15" s="57"/>
      <c r="N15" s="57"/>
      <c r="O15" s="57"/>
      <c r="P15" s="57"/>
      <c r="Q15" s="57"/>
      <c r="R15" s="57"/>
      <c r="S15" s="57"/>
      <c r="T15" s="57"/>
      <c r="U15" s="1"/>
    </row>
    <row r="16" spans="1:21" ht="15">
      <c r="A16" s="1"/>
      <c r="M16" s="57"/>
      <c r="N16" s="57"/>
      <c r="O16" s="57"/>
      <c r="P16" s="57"/>
      <c r="Q16" s="57"/>
      <c r="R16" s="57"/>
      <c r="S16" s="57"/>
      <c r="T16" s="57"/>
      <c r="U16" s="1"/>
    </row>
    <row r="17" spans="1:21" ht="15">
      <c r="A17" s="1"/>
      <c r="M17" s="57"/>
      <c r="N17" s="57"/>
      <c r="O17" s="57"/>
      <c r="P17" s="57"/>
      <c r="Q17" s="57"/>
      <c r="R17" s="57"/>
      <c r="S17" s="57"/>
      <c r="T17" s="57"/>
      <c r="U17" s="1"/>
    </row>
    <row r="18" spans="1:21" ht="15">
      <c r="A18" s="1"/>
      <c r="M18" s="57"/>
      <c r="N18" s="57"/>
      <c r="O18" s="57"/>
      <c r="P18" s="57"/>
      <c r="Q18" s="57"/>
      <c r="R18" s="57"/>
      <c r="S18" s="57"/>
      <c r="T18" s="57"/>
      <c r="U18" s="1"/>
    </row>
    <row r="19" spans="1:21" ht="15">
      <c r="A19" s="1"/>
      <c r="M19" s="57"/>
      <c r="N19" s="57"/>
      <c r="O19" s="57"/>
      <c r="P19" s="57"/>
      <c r="Q19" s="57"/>
      <c r="R19" s="57"/>
      <c r="S19" s="57"/>
      <c r="T19" s="57"/>
      <c r="U19" s="1"/>
    </row>
    <row r="20" spans="1:21" ht="15">
      <c r="A20" s="1"/>
      <c r="M20" s="57"/>
      <c r="N20" s="57"/>
      <c r="O20" s="57"/>
      <c r="P20" s="57"/>
      <c r="Q20" s="57"/>
      <c r="R20" s="57"/>
      <c r="S20" s="57"/>
      <c r="T20" s="57"/>
      <c r="U20" s="1"/>
    </row>
    <row r="21" spans="1:21" ht="15">
      <c r="A21" s="1"/>
      <c r="M21" s="57"/>
      <c r="N21" s="57"/>
      <c r="O21" s="57"/>
      <c r="P21" s="57"/>
      <c r="Q21" s="57"/>
      <c r="R21" s="57"/>
      <c r="S21" s="57"/>
      <c r="T21" s="57"/>
      <c r="U21" s="1"/>
    </row>
    <row r="22" spans="1:21" ht="15">
      <c r="A22" s="1"/>
      <c r="M22" s="57"/>
      <c r="N22" s="57"/>
      <c r="O22" s="57"/>
      <c r="P22" s="57"/>
      <c r="Q22" s="57"/>
      <c r="R22" s="57"/>
      <c r="S22" s="57"/>
      <c r="T22" s="57"/>
      <c r="U22" s="1"/>
    </row>
    <row r="23" spans="1:21" ht="15">
      <c r="A23" s="1"/>
      <c r="M23" s="57"/>
      <c r="N23" s="57"/>
      <c r="O23" s="57"/>
      <c r="P23" s="57"/>
      <c r="Q23" s="57"/>
      <c r="R23" s="57"/>
      <c r="S23" s="57"/>
      <c r="T23" s="57"/>
      <c r="U23" s="1"/>
    </row>
    <row r="24" spans="1:21" ht="15">
      <c r="A24" s="1"/>
      <c r="M24" s="57"/>
      <c r="N24" s="57"/>
      <c r="O24" s="57"/>
      <c r="P24" s="57"/>
      <c r="Q24" s="57"/>
      <c r="R24" s="57"/>
      <c r="S24" s="57"/>
      <c r="T24" s="57"/>
      <c r="U24" s="1"/>
    </row>
    <row r="25" spans="1:21" ht="15">
      <c r="A25" s="1"/>
      <c r="M25" s="57"/>
      <c r="N25" s="57"/>
      <c r="O25" s="57"/>
      <c r="P25" s="57"/>
      <c r="Q25" s="57"/>
      <c r="R25" s="57"/>
      <c r="S25" s="57"/>
      <c r="T25" s="57"/>
      <c r="U25" s="1"/>
    </row>
    <row r="26" spans="1:21" ht="15">
      <c r="A26" s="1"/>
      <c r="M26" s="57"/>
      <c r="N26" s="57"/>
      <c r="O26" s="57"/>
      <c r="P26" s="57"/>
      <c r="Q26" s="57"/>
      <c r="R26" s="57"/>
      <c r="S26" s="57"/>
      <c r="T26" s="57"/>
      <c r="U26" s="1"/>
    </row>
    <row r="27" spans="1:21" ht="15">
      <c r="A27" s="1"/>
      <c r="M27" s="57"/>
      <c r="N27" s="57"/>
      <c r="O27" s="57"/>
      <c r="P27" s="57"/>
      <c r="Q27" s="57"/>
      <c r="R27" s="57"/>
      <c r="S27" s="57"/>
      <c r="T27" s="57"/>
      <c r="U27" s="1"/>
    </row>
    <row r="28" spans="1:21" ht="15">
      <c r="A28" s="1"/>
      <c r="M28" s="57"/>
      <c r="N28" s="57"/>
      <c r="O28" s="57"/>
      <c r="P28" s="57"/>
      <c r="Q28" s="57"/>
      <c r="R28" s="57"/>
      <c r="S28" s="57"/>
      <c r="T28" s="57"/>
      <c r="U28" s="1"/>
    </row>
    <row r="29" spans="1:21" ht="15">
      <c r="A29" s="1"/>
      <c r="M29" s="57"/>
      <c r="N29" s="57"/>
      <c r="O29" s="57"/>
      <c r="P29" s="57"/>
      <c r="Q29" s="57"/>
      <c r="R29" s="57"/>
      <c r="S29" s="57"/>
      <c r="T29" s="57"/>
      <c r="U29" s="1"/>
    </row>
    <row r="30" spans="1:21" ht="15">
      <c r="A30" s="1"/>
      <c r="M30" s="57"/>
      <c r="N30" s="57"/>
      <c r="O30" s="57"/>
      <c r="P30" s="57"/>
      <c r="Q30" s="57"/>
      <c r="R30" s="57"/>
      <c r="S30" s="57"/>
      <c r="T30" s="57"/>
      <c r="U30" s="1"/>
    </row>
    <row r="31" spans="1:21" ht="15">
      <c r="A31" s="1"/>
      <c r="M31" s="57"/>
      <c r="N31" s="57"/>
      <c r="O31" s="57"/>
      <c r="P31" s="57"/>
      <c r="Q31" s="57"/>
      <c r="R31" s="57"/>
      <c r="S31" s="57"/>
      <c r="T31" s="57"/>
      <c r="U31" s="1"/>
    </row>
    <row r="32" spans="1:21" ht="15">
      <c r="A32" s="1"/>
      <c r="M32" s="57"/>
      <c r="N32" s="57"/>
      <c r="O32" s="57"/>
      <c r="P32" s="57"/>
      <c r="Q32" s="57"/>
      <c r="R32" s="57"/>
      <c r="S32" s="57"/>
      <c r="T32" s="57"/>
      <c r="U32" s="1"/>
    </row>
    <row r="33" spans="1:21" ht="15">
      <c r="A33" s="1"/>
      <c r="M33" s="57"/>
      <c r="N33" s="57"/>
      <c r="O33" s="57"/>
      <c r="P33" s="57"/>
      <c r="Q33" s="57"/>
      <c r="R33" s="57"/>
      <c r="S33" s="57"/>
      <c r="T33" s="57"/>
      <c r="U33" s="1"/>
    </row>
    <row r="34" spans="1:21" ht="15">
      <c r="A34" s="1"/>
      <c r="M34" s="57"/>
      <c r="N34" s="57"/>
      <c r="O34" s="57"/>
      <c r="P34" s="57"/>
      <c r="Q34" s="57"/>
      <c r="R34" s="57"/>
      <c r="S34" s="57"/>
      <c r="T34" s="57"/>
      <c r="U34" s="1"/>
    </row>
    <row r="35" spans="1:21" ht="15">
      <c r="A35" s="1"/>
      <c r="M35" s="57"/>
      <c r="N35" s="57"/>
      <c r="O35" s="57"/>
      <c r="P35" s="57"/>
      <c r="Q35" s="57"/>
      <c r="R35" s="57"/>
      <c r="S35" s="57"/>
      <c r="T35" s="57"/>
      <c r="U35" s="1"/>
    </row>
    <row r="36" spans="1:21" ht="15">
      <c r="A36" s="1"/>
      <c r="M36" s="57"/>
      <c r="N36" s="57"/>
      <c r="O36" s="57"/>
      <c r="P36" s="57"/>
      <c r="Q36" s="57"/>
      <c r="R36" s="57"/>
      <c r="S36" s="57"/>
      <c r="T36" s="57"/>
      <c r="U36" s="1"/>
    </row>
    <row r="37" spans="1:21" ht="15">
      <c r="A37" s="1"/>
      <c r="M37" s="57"/>
      <c r="N37" s="57"/>
      <c r="O37" s="57"/>
      <c r="P37" s="57"/>
      <c r="Q37" s="57"/>
      <c r="R37" s="57"/>
      <c r="S37" s="57"/>
      <c r="T37" s="57"/>
      <c r="U37" s="1"/>
    </row>
    <row r="38" spans="1:21" ht="15">
      <c r="A38" s="1"/>
      <c r="M38" s="57"/>
      <c r="N38" s="57"/>
      <c r="O38" s="57"/>
      <c r="P38" s="57"/>
      <c r="Q38" s="57"/>
      <c r="R38" s="57"/>
      <c r="S38" s="57"/>
      <c r="T38" s="57"/>
      <c r="U38" s="1"/>
    </row>
    <row r="39" spans="1:21" ht="15">
      <c r="A39" s="1"/>
      <c r="M39" s="57"/>
      <c r="N39" s="57"/>
      <c r="O39" s="57"/>
      <c r="P39" s="57"/>
      <c r="Q39" s="57"/>
      <c r="R39" s="57"/>
      <c r="S39" s="57"/>
      <c r="T39" s="57"/>
      <c r="U39" s="1"/>
    </row>
    <row r="40" spans="1:21" ht="15">
      <c r="A40" s="1"/>
      <c r="M40" s="57"/>
      <c r="N40" s="57"/>
      <c r="O40" s="57"/>
      <c r="P40" s="57"/>
      <c r="Q40" s="57"/>
      <c r="R40" s="57"/>
      <c r="S40" s="57"/>
      <c r="T40" s="57"/>
      <c r="U40" s="1"/>
    </row>
    <row r="41" spans="1:21" ht="15">
      <c r="A41" s="1"/>
      <c r="M41" s="57"/>
      <c r="N41" s="57"/>
      <c r="O41" s="57"/>
      <c r="P41" s="57"/>
      <c r="Q41" s="57"/>
      <c r="R41" s="57"/>
      <c r="S41" s="57"/>
      <c r="T41" s="57"/>
      <c r="U41" s="1"/>
    </row>
    <row r="42" spans="1:21" ht="15">
      <c r="A42" s="1"/>
      <c r="M42" s="57"/>
      <c r="N42" s="57"/>
      <c r="O42" s="57"/>
      <c r="P42" s="57"/>
      <c r="Q42" s="57"/>
      <c r="R42" s="57"/>
      <c r="S42" s="57"/>
      <c r="T42" s="57"/>
      <c r="U42" s="1"/>
    </row>
    <row r="43" spans="1:21" ht="15">
      <c r="A43" s="1"/>
      <c r="M43" s="57"/>
      <c r="N43" s="57"/>
      <c r="O43" s="57"/>
      <c r="P43" s="57"/>
      <c r="Q43" s="57"/>
      <c r="R43" s="57"/>
      <c r="S43" s="57"/>
      <c r="T43" s="57"/>
      <c r="U43" s="1"/>
    </row>
    <row r="44" spans="1:21" ht="15">
      <c r="A44" s="1"/>
      <c r="M44" s="57"/>
      <c r="N44" s="57"/>
      <c r="O44" s="57"/>
      <c r="P44" s="57"/>
      <c r="Q44" s="57"/>
      <c r="R44" s="57"/>
      <c r="S44" s="57"/>
      <c r="T44" s="57"/>
      <c r="U44" s="1"/>
    </row>
    <row r="45" spans="1:21" ht="15">
      <c r="A45" s="1"/>
      <c r="M45" s="57"/>
      <c r="N45" s="57"/>
      <c r="O45" s="57"/>
      <c r="P45" s="57"/>
      <c r="Q45" s="57"/>
      <c r="R45" s="57"/>
      <c r="S45" s="57"/>
      <c r="T45" s="57"/>
      <c r="U45" s="1"/>
    </row>
    <row r="46" spans="1:21" ht="15">
      <c r="A46" s="1"/>
      <c r="M46" s="57"/>
      <c r="N46" s="57"/>
      <c r="O46" s="57"/>
      <c r="P46" s="57"/>
      <c r="Q46" s="57"/>
      <c r="R46" s="57"/>
      <c r="S46" s="57"/>
      <c r="T46" s="57"/>
      <c r="U46" s="1"/>
    </row>
    <row r="47" spans="1:21" ht="15">
      <c r="A47" s="1"/>
      <c r="M47" s="57"/>
      <c r="N47" s="57"/>
      <c r="O47" s="57"/>
      <c r="P47" s="57"/>
      <c r="Q47" s="57"/>
      <c r="R47" s="57"/>
      <c r="S47" s="57"/>
      <c r="T47" s="57"/>
      <c r="U47" s="1"/>
    </row>
    <row r="48" spans="1:21" ht="15">
      <c r="A48" s="1"/>
      <c r="M48" s="57"/>
      <c r="N48" s="57"/>
      <c r="O48" s="57"/>
      <c r="P48" s="57"/>
      <c r="Q48" s="57"/>
      <c r="R48" s="57"/>
      <c r="S48" s="57"/>
      <c r="T48" s="57"/>
      <c r="U48" s="1"/>
    </row>
    <row r="49" spans="1:21" ht="15">
      <c r="A49" s="1"/>
      <c r="M49" s="57"/>
      <c r="N49" s="57"/>
      <c r="O49" s="57"/>
      <c r="P49" s="57"/>
      <c r="Q49" s="57"/>
      <c r="R49" s="57"/>
      <c r="S49" s="57"/>
      <c r="T49" s="57"/>
      <c r="U49" s="1"/>
    </row>
    <row r="50" spans="1:21" ht="15">
      <c r="A50" s="1"/>
      <c r="M50" s="57"/>
      <c r="N50" s="57"/>
      <c r="O50" s="57"/>
      <c r="P50" s="57"/>
      <c r="Q50" s="57"/>
      <c r="R50" s="57"/>
      <c r="S50" s="57"/>
      <c r="T50" s="57"/>
      <c r="U50" s="1"/>
    </row>
    <row r="51" spans="1:21" ht="15">
      <c r="A51" s="1"/>
      <c r="M51" s="57"/>
      <c r="N51" s="57"/>
      <c r="O51" s="57"/>
      <c r="P51" s="57"/>
      <c r="Q51" s="57"/>
      <c r="R51" s="57"/>
      <c r="S51" s="57"/>
      <c r="T51" s="57"/>
      <c r="U51" s="1"/>
    </row>
    <row r="52" spans="1:21" ht="15">
      <c r="A52" s="1"/>
      <c r="M52" s="57"/>
      <c r="N52" s="57"/>
      <c r="O52" s="57"/>
      <c r="P52" s="57"/>
      <c r="Q52" s="57"/>
      <c r="R52" s="57"/>
      <c r="S52" s="57"/>
      <c r="T52" s="57"/>
      <c r="U52" s="1"/>
    </row>
    <row r="53" spans="1:21" ht="15">
      <c r="A53" s="1"/>
      <c r="M53" s="57"/>
      <c r="N53" s="57"/>
      <c r="O53" s="57"/>
      <c r="P53" s="57"/>
      <c r="Q53" s="57"/>
      <c r="R53" s="57"/>
      <c r="S53" s="57"/>
      <c r="T53" s="57"/>
      <c r="U53" s="1"/>
    </row>
    <row r="54" spans="1:21" ht="15">
      <c r="A54" s="1"/>
      <c r="M54" s="57"/>
      <c r="N54" s="57"/>
      <c r="O54" s="57"/>
      <c r="P54" s="57"/>
      <c r="Q54" s="57"/>
      <c r="R54" s="57"/>
      <c r="S54" s="57"/>
      <c r="T54" s="57"/>
      <c r="U54" s="1"/>
    </row>
    <row r="55" spans="1:21" ht="15">
      <c r="A55" s="1"/>
      <c r="M55" s="57"/>
      <c r="N55" s="57"/>
      <c r="O55" s="57"/>
      <c r="P55" s="57"/>
      <c r="Q55" s="57"/>
      <c r="R55" s="57"/>
      <c r="S55" s="57"/>
      <c r="T55" s="57"/>
      <c r="U55" s="1"/>
    </row>
    <row r="56" spans="1:21" ht="15">
      <c r="A56" s="1"/>
      <c r="M56" s="57"/>
      <c r="N56" s="57"/>
      <c r="O56" s="57"/>
      <c r="P56" s="57"/>
      <c r="Q56" s="57"/>
      <c r="R56" s="57"/>
      <c r="S56" s="57"/>
      <c r="T56" s="57"/>
      <c r="U56" s="1"/>
    </row>
    <row r="57" spans="1:21" ht="15">
      <c r="A57" s="1"/>
      <c r="M57" s="57"/>
      <c r="N57" s="57"/>
      <c r="O57" s="57"/>
      <c r="P57" s="57"/>
      <c r="Q57" s="57"/>
      <c r="R57" s="57"/>
      <c r="S57" s="57"/>
      <c r="T57" s="57"/>
      <c r="U57" s="1"/>
    </row>
    <row r="58" spans="1:21" ht="15">
      <c r="A58" s="1"/>
      <c r="M58" s="57"/>
      <c r="N58" s="57"/>
      <c r="O58" s="57"/>
      <c r="P58" s="57"/>
      <c r="Q58" s="57"/>
      <c r="R58" s="57"/>
      <c r="S58" s="57"/>
      <c r="T58" s="57"/>
      <c r="U58" s="1"/>
    </row>
    <row r="59" spans="1:21" ht="15">
      <c r="A59" s="1"/>
      <c r="M59" s="57"/>
      <c r="N59" s="57"/>
      <c r="O59" s="57"/>
      <c r="P59" s="57"/>
      <c r="Q59" s="57"/>
      <c r="R59" s="57"/>
      <c r="S59" s="57"/>
      <c r="T59" s="57"/>
      <c r="U59" s="1"/>
    </row>
    <row r="60" spans="1:21" ht="15">
      <c r="A60" s="1"/>
      <c r="M60" s="57"/>
      <c r="N60" s="57"/>
      <c r="O60" s="57"/>
      <c r="P60" s="57"/>
      <c r="Q60" s="57"/>
      <c r="R60" s="57"/>
      <c r="S60" s="57"/>
      <c r="T60" s="57"/>
      <c r="U60" s="1"/>
    </row>
    <row r="61" spans="1:21" ht="15">
      <c r="A61" s="1"/>
      <c r="M61" s="57"/>
      <c r="N61" s="57"/>
      <c r="O61" s="57"/>
      <c r="P61" s="57"/>
      <c r="Q61" s="57"/>
      <c r="R61" s="57"/>
      <c r="S61" s="57"/>
      <c r="T61" s="57"/>
      <c r="U61" s="1"/>
    </row>
    <row r="62" spans="1:21" ht="15">
      <c r="A62" s="1"/>
      <c r="M62" s="57"/>
      <c r="N62" s="57"/>
      <c r="O62" s="57"/>
      <c r="P62" s="57"/>
      <c r="Q62" s="57"/>
      <c r="R62" s="57"/>
      <c r="S62" s="57"/>
      <c r="T62" s="57"/>
      <c r="U62" s="1"/>
    </row>
    <row r="63" spans="1:21" ht="15">
      <c r="A63" s="1"/>
      <c r="M63" s="57"/>
      <c r="N63" s="57"/>
      <c r="O63" s="57"/>
      <c r="P63" s="57"/>
      <c r="Q63" s="57"/>
      <c r="R63" s="57"/>
      <c r="S63" s="57"/>
      <c r="T63" s="57"/>
      <c r="U63" s="1"/>
    </row>
    <row r="64" spans="1:21" ht="15">
      <c r="A64" s="1"/>
      <c r="M64" s="57"/>
      <c r="N64" s="57"/>
      <c r="O64" s="57"/>
      <c r="P64" s="57"/>
      <c r="Q64" s="57"/>
      <c r="R64" s="57"/>
      <c r="S64" s="57"/>
      <c r="T64" s="57"/>
      <c r="U64" s="1"/>
    </row>
    <row r="65" spans="1:21" ht="15">
      <c r="A65" s="1"/>
      <c r="M65" s="57"/>
      <c r="N65" s="57"/>
      <c r="O65" s="57"/>
      <c r="P65" s="57"/>
      <c r="Q65" s="57"/>
      <c r="R65" s="57"/>
      <c r="S65" s="57"/>
      <c r="T65" s="57"/>
      <c r="U65" s="1"/>
    </row>
    <row r="66" spans="1:21" ht="15">
      <c r="A66" s="1"/>
      <c r="M66" s="57"/>
      <c r="N66" s="57"/>
      <c r="O66" s="57"/>
      <c r="P66" s="57"/>
      <c r="Q66" s="57"/>
      <c r="R66" s="57"/>
      <c r="S66" s="57"/>
      <c r="T66" s="57"/>
      <c r="U66" s="1"/>
    </row>
    <row r="67" spans="1:21" ht="15">
      <c r="A67" s="1"/>
      <c r="M67" s="57"/>
      <c r="N67" s="57"/>
      <c r="O67" s="57"/>
      <c r="P67" s="57"/>
      <c r="Q67" s="57"/>
      <c r="R67" s="57"/>
      <c r="S67" s="57"/>
      <c r="T67" s="57"/>
      <c r="U67" s="1"/>
    </row>
    <row r="68" spans="1:21" ht="15">
      <c r="A68" s="1"/>
      <c r="M68" s="57"/>
      <c r="N68" s="57"/>
      <c r="O68" s="57"/>
      <c r="P68" s="57"/>
      <c r="Q68" s="57"/>
      <c r="R68" s="57"/>
      <c r="S68" s="57"/>
      <c r="T68" s="57"/>
      <c r="U68" s="1"/>
    </row>
    <row r="69" spans="1:21" ht="15">
      <c r="A69" s="1"/>
      <c r="M69" s="57"/>
      <c r="N69" s="57"/>
      <c r="O69" s="57"/>
      <c r="P69" s="57"/>
      <c r="Q69" s="57"/>
      <c r="R69" s="57"/>
      <c r="S69" s="57"/>
      <c r="T69" s="57"/>
      <c r="U69" s="1"/>
    </row>
    <row r="70" spans="1:21" ht="15">
      <c r="A70" s="1"/>
      <c r="M70" s="57"/>
      <c r="N70" s="57"/>
      <c r="O70" s="57"/>
      <c r="P70" s="57"/>
      <c r="Q70" s="57"/>
      <c r="R70" s="57"/>
      <c r="S70" s="57"/>
      <c r="T70" s="57"/>
      <c r="U70" s="1"/>
    </row>
    <row r="71" spans="1:21" ht="15">
      <c r="A71" s="1"/>
      <c r="M71" s="57"/>
      <c r="N71" s="57"/>
      <c r="O71" s="57"/>
      <c r="P71" s="57"/>
      <c r="Q71" s="57"/>
      <c r="R71" s="57"/>
      <c r="S71" s="57"/>
      <c r="T71" s="57"/>
      <c r="U71" s="1"/>
    </row>
    <row r="72" spans="1:21" ht="15">
      <c r="A72" s="1"/>
      <c r="M72" s="57"/>
      <c r="N72" s="57"/>
      <c r="O72" s="57"/>
      <c r="P72" s="57"/>
      <c r="Q72" s="57"/>
      <c r="R72" s="57"/>
      <c r="S72" s="57"/>
      <c r="T72" s="57"/>
      <c r="U72" s="1"/>
    </row>
    <row r="73" spans="1:21" ht="15">
      <c r="A73" s="1"/>
      <c r="M73" s="57"/>
      <c r="N73" s="57"/>
      <c r="O73" s="57"/>
      <c r="P73" s="57"/>
      <c r="Q73" s="57"/>
      <c r="R73" s="57"/>
      <c r="S73" s="57"/>
      <c r="T73" s="57"/>
      <c r="U73" s="1"/>
    </row>
    <row r="74" spans="1:21" ht="15">
      <c r="A74" s="1"/>
      <c r="M74" s="57"/>
      <c r="N74" s="57"/>
      <c r="O74" s="57"/>
      <c r="P74" s="57"/>
      <c r="Q74" s="57"/>
      <c r="R74" s="57"/>
      <c r="S74" s="57"/>
      <c r="T74" s="57"/>
      <c r="U74" s="1"/>
    </row>
    <row r="75" spans="1:21" ht="15">
      <c r="A75" s="1"/>
      <c r="M75" s="57"/>
      <c r="N75" s="57"/>
      <c r="O75" s="57"/>
      <c r="P75" s="57"/>
      <c r="Q75" s="57"/>
      <c r="R75" s="57"/>
      <c r="S75" s="57"/>
      <c r="T75" s="57"/>
      <c r="U75" s="1"/>
    </row>
    <row r="76" spans="1:21" ht="15">
      <c r="A76" s="1"/>
      <c r="M76" s="57"/>
      <c r="N76" s="57"/>
      <c r="O76" s="57"/>
      <c r="P76" s="57"/>
      <c r="Q76" s="57"/>
      <c r="R76" s="57"/>
      <c r="S76" s="57"/>
      <c r="T76" s="57"/>
      <c r="U76" s="1"/>
    </row>
    <row r="77" spans="1:21" ht="15">
      <c r="A77" s="1"/>
      <c r="M77" s="57"/>
      <c r="N77" s="57"/>
      <c r="O77" s="57"/>
      <c r="P77" s="57"/>
      <c r="Q77" s="57"/>
      <c r="R77" s="57"/>
      <c r="S77" s="57"/>
      <c r="T77" s="57"/>
      <c r="U77" s="1"/>
    </row>
    <row r="78" spans="1:21" ht="15">
      <c r="A78" s="1"/>
      <c r="M78" s="57"/>
      <c r="N78" s="57"/>
      <c r="O78" s="57"/>
      <c r="P78" s="57"/>
      <c r="Q78" s="57"/>
      <c r="R78" s="57"/>
      <c r="S78" s="57"/>
      <c r="T78" s="57"/>
      <c r="U78" s="1"/>
    </row>
    <row r="79" spans="1:21" ht="15">
      <c r="A79" s="1"/>
      <c r="M79" s="57"/>
      <c r="N79" s="57"/>
      <c r="O79" s="57"/>
      <c r="P79" s="57"/>
      <c r="Q79" s="57"/>
      <c r="R79" s="57"/>
      <c r="S79" s="57"/>
      <c r="T79" s="57"/>
      <c r="U79" s="1"/>
    </row>
    <row r="80" spans="1:21" ht="15">
      <c r="A80" s="1"/>
      <c r="M80" s="57"/>
      <c r="N80" s="57"/>
      <c r="O80" s="57"/>
      <c r="P80" s="57"/>
      <c r="Q80" s="57"/>
      <c r="R80" s="57"/>
      <c r="S80" s="57"/>
      <c r="T80" s="57"/>
      <c r="U80" s="1"/>
    </row>
    <row r="81" spans="1:21" ht="15">
      <c r="A81" s="1"/>
      <c r="M81" s="57"/>
      <c r="N81" s="57"/>
      <c r="O81" s="57"/>
      <c r="P81" s="57"/>
      <c r="Q81" s="57"/>
      <c r="R81" s="57"/>
      <c r="S81" s="57"/>
      <c r="T81" s="57"/>
      <c r="U81" s="1"/>
    </row>
    <row r="82" spans="1:21" ht="15">
      <c r="A82" s="1"/>
      <c r="M82" s="57"/>
      <c r="N82" s="57"/>
      <c r="O82" s="57"/>
      <c r="P82" s="57"/>
      <c r="Q82" s="57"/>
      <c r="R82" s="57"/>
      <c r="S82" s="57"/>
      <c r="T82" s="57"/>
      <c r="U82" s="1"/>
    </row>
    <row r="83" spans="1:21" ht="15">
      <c r="A83" s="1"/>
      <c r="M83" s="57"/>
      <c r="N83" s="57"/>
      <c r="O83" s="57"/>
      <c r="P83" s="57"/>
      <c r="Q83" s="57"/>
      <c r="R83" s="57"/>
      <c r="S83" s="57"/>
      <c r="T83" s="57"/>
      <c r="U83" s="1"/>
    </row>
    <row r="84" spans="1:21" ht="15">
      <c r="A84" s="1"/>
      <c r="M84" s="57"/>
      <c r="N84" s="57"/>
      <c r="O84" s="57"/>
      <c r="P84" s="57"/>
      <c r="Q84" s="57"/>
      <c r="R84" s="57"/>
      <c r="S84" s="57"/>
      <c r="T84" s="57"/>
      <c r="U84" s="1"/>
    </row>
    <row r="85" spans="1:21" ht="15">
      <c r="A85" s="1"/>
      <c r="M85" s="57"/>
      <c r="N85" s="57"/>
      <c r="O85" s="57"/>
      <c r="P85" s="57"/>
      <c r="Q85" s="57"/>
      <c r="R85" s="57"/>
      <c r="S85" s="57"/>
      <c r="T85" s="57"/>
      <c r="U85" s="1"/>
    </row>
    <row r="86" spans="1:21" ht="15">
      <c r="A86" s="1"/>
      <c r="M86" s="57"/>
      <c r="N86" s="57"/>
      <c r="O86" s="57"/>
      <c r="P86" s="57"/>
      <c r="Q86" s="57"/>
      <c r="R86" s="57"/>
      <c r="S86" s="57"/>
      <c r="T86" s="57"/>
      <c r="U86" s="1"/>
    </row>
    <row r="87" spans="1:21" ht="15">
      <c r="A87" s="1"/>
      <c r="M87" s="57"/>
      <c r="N87" s="57"/>
      <c r="O87" s="57"/>
      <c r="P87" s="57"/>
      <c r="Q87" s="57"/>
      <c r="R87" s="57"/>
      <c r="S87" s="57"/>
      <c r="T87" s="57"/>
      <c r="U87" s="1"/>
    </row>
    <row r="88" spans="1:21" ht="15">
      <c r="A88" s="1"/>
      <c r="M88" s="57"/>
      <c r="N88" s="57"/>
      <c r="O88" s="57"/>
      <c r="P88" s="57"/>
      <c r="Q88" s="57"/>
      <c r="R88" s="57"/>
      <c r="S88" s="57"/>
      <c r="T88" s="57"/>
      <c r="U88" s="1"/>
    </row>
    <row r="89" spans="1:21" ht="15">
      <c r="A89" s="1"/>
      <c r="M89" s="57"/>
      <c r="N89" s="57"/>
      <c r="O89" s="57"/>
      <c r="P89" s="57"/>
      <c r="Q89" s="57"/>
      <c r="R89" s="57"/>
      <c r="S89" s="57"/>
      <c r="T89" s="57"/>
      <c r="U89" s="1"/>
    </row>
    <row r="90" spans="1:21" ht="15">
      <c r="A90" s="1"/>
      <c r="M90" s="57"/>
      <c r="N90" s="57"/>
      <c r="O90" s="57"/>
      <c r="P90" s="57"/>
      <c r="Q90" s="57"/>
      <c r="R90" s="57"/>
      <c r="S90" s="57"/>
      <c r="T90" s="57"/>
      <c r="U90" s="1"/>
    </row>
    <row r="91" spans="1:21" ht="15">
      <c r="A91" s="1"/>
      <c r="M91" s="57"/>
      <c r="N91" s="57"/>
      <c r="O91" s="57"/>
      <c r="P91" s="57"/>
      <c r="Q91" s="57"/>
      <c r="R91" s="57"/>
      <c r="S91" s="57"/>
      <c r="T91" s="57"/>
      <c r="U91" s="1"/>
    </row>
    <row r="92" spans="1:21" ht="15">
      <c r="A92" s="1"/>
      <c r="M92" s="57"/>
      <c r="N92" s="57"/>
      <c r="O92" s="57"/>
      <c r="P92" s="57"/>
      <c r="Q92" s="57"/>
      <c r="R92" s="57"/>
      <c r="S92" s="57"/>
      <c r="T92" s="57"/>
      <c r="U92" s="1"/>
    </row>
    <row r="93" spans="1:21" ht="15">
      <c r="A93" s="1"/>
      <c r="M93" s="57"/>
      <c r="N93" s="57"/>
      <c r="O93" s="57"/>
      <c r="P93" s="57"/>
      <c r="Q93" s="57"/>
      <c r="R93" s="57"/>
      <c r="S93" s="57"/>
      <c r="T93" s="57"/>
      <c r="U93" s="1"/>
    </row>
    <row r="94" spans="1:21" ht="15">
      <c r="A94" s="1"/>
      <c r="M94" s="57"/>
      <c r="N94" s="57"/>
      <c r="O94" s="57"/>
      <c r="P94" s="57"/>
      <c r="Q94" s="57"/>
      <c r="R94" s="57"/>
      <c r="S94" s="57"/>
      <c r="T94" s="57"/>
      <c r="U94" s="1"/>
    </row>
    <row r="95" spans="1:21" ht="15">
      <c r="A95" s="1"/>
      <c r="M95" s="57"/>
      <c r="N95" s="57"/>
      <c r="O95" s="57"/>
      <c r="P95" s="57"/>
      <c r="Q95" s="57"/>
      <c r="R95" s="57"/>
      <c r="S95" s="57"/>
      <c r="T95" s="57"/>
      <c r="U95" s="1"/>
    </row>
    <row r="96" spans="1:21" ht="15">
      <c r="A96" s="1"/>
      <c r="M96" s="57"/>
      <c r="N96" s="57"/>
      <c r="O96" s="57"/>
      <c r="P96" s="57"/>
      <c r="Q96" s="57"/>
      <c r="R96" s="57"/>
      <c r="S96" s="57"/>
      <c r="T96" s="57"/>
      <c r="U96" s="1"/>
    </row>
    <row r="97" spans="1:21" ht="15">
      <c r="A97" s="1"/>
      <c r="M97" s="57"/>
      <c r="N97" s="57"/>
      <c r="O97" s="57"/>
      <c r="P97" s="57"/>
      <c r="Q97" s="57"/>
      <c r="R97" s="57"/>
      <c r="S97" s="57"/>
      <c r="T97" s="57"/>
      <c r="U97" s="1"/>
    </row>
    <row r="98" spans="1:21" ht="15">
      <c r="A98" s="1"/>
      <c r="M98" s="57"/>
      <c r="N98" s="57"/>
      <c r="O98" s="57"/>
      <c r="P98" s="57"/>
      <c r="Q98" s="57"/>
      <c r="R98" s="57"/>
      <c r="S98" s="57"/>
      <c r="T98" s="57"/>
      <c r="U98" s="1"/>
    </row>
    <row r="99" spans="1:21" ht="15">
      <c r="A99" s="1"/>
      <c r="M99" s="57"/>
      <c r="N99" s="57"/>
      <c r="O99" s="57"/>
      <c r="P99" s="57"/>
      <c r="Q99" s="57"/>
      <c r="R99" s="57"/>
      <c r="S99" s="57"/>
      <c r="T99" s="57"/>
      <c r="U99" s="1"/>
    </row>
    <row r="100" spans="1:21" ht="15">
      <c r="A100" s="1"/>
      <c r="M100" s="57"/>
      <c r="N100" s="57"/>
      <c r="O100" s="57"/>
      <c r="P100" s="57"/>
      <c r="Q100" s="57"/>
      <c r="R100" s="57"/>
      <c r="S100" s="57"/>
      <c r="T100" s="57"/>
      <c r="U100" s="1"/>
    </row>
    <row r="101" spans="1:21" ht="15">
      <c r="A101" s="1"/>
      <c r="M101" s="57"/>
      <c r="N101" s="57"/>
      <c r="O101" s="57"/>
      <c r="P101" s="57"/>
      <c r="Q101" s="57"/>
      <c r="R101" s="57"/>
      <c r="S101" s="57"/>
      <c r="T101" s="57"/>
      <c r="U101" s="1"/>
    </row>
    <row r="102" spans="1:21" ht="15">
      <c r="A102" s="1"/>
      <c r="M102" s="57"/>
      <c r="N102" s="57"/>
      <c r="O102" s="57"/>
      <c r="P102" s="57"/>
      <c r="Q102" s="57"/>
      <c r="R102" s="57"/>
      <c r="S102" s="57"/>
      <c r="T102" s="57"/>
      <c r="U102" s="1"/>
    </row>
    <row r="103" spans="1:21" ht="15">
      <c r="A103" s="1"/>
      <c r="M103" s="57"/>
      <c r="N103" s="57"/>
      <c r="O103" s="57"/>
      <c r="P103" s="57"/>
      <c r="Q103" s="57"/>
      <c r="R103" s="57"/>
      <c r="S103" s="57"/>
      <c r="T103" s="57"/>
      <c r="U103" s="1"/>
    </row>
    <row r="104" spans="1:21" ht="15">
      <c r="A104" s="1"/>
      <c r="M104" s="57"/>
      <c r="N104" s="57"/>
      <c r="O104" s="57"/>
      <c r="P104" s="57"/>
      <c r="Q104" s="57"/>
      <c r="R104" s="57"/>
      <c r="S104" s="57"/>
      <c r="T104" s="57"/>
      <c r="U104" s="1"/>
    </row>
    <row r="105" spans="1:21" ht="15">
      <c r="A105" s="1"/>
      <c r="M105" s="57"/>
      <c r="N105" s="57"/>
      <c r="O105" s="57"/>
      <c r="P105" s="57"/>
      <c r="Q105" s="57"/>
      <c r="R105" s="57"/>
      <c r="S105" s="57"/>
      <c r="T105" s="57"/>
      <c r="U105" s="1"/>
    </row>
    <row r="106" spans="1:21" ht="15">
      <c r="A106" s="1"/>
      <c r="M106" s="57"/>
      <c r="N106" s="57"/>
      <c r="O106" s="57"/>
      <c r="P106" s="57"/>
      <c r="Q106" s="57"/>
      <c r="R106" s="57"/>
      <c r="S106" s="57"/>
      <c r="T106" s="57"/>
      <c r="U106" s="1"/>
    </row>
    <row r="107" spans="1:21" ht="15">
      <c r="A107" s="1"/>
      <c r="M107" s="57"/>
      <c r="N107" s="57"/>
      <c r="O107" s="57"/>
      <c r="P107" s="57"/>
      <c r="Q107" s="57"/>
      <c r="R107" s="57"/>
      <c r="S107" s="57"/>
      <c r="T107" s="57"/>
      <c r="U107" s="1"/>
    </row>
    <row r="108" spans="1:21" ht="15">
      <c r="A108" s="1"/>
      <c r="M108" s="57"/>
      <c r="N108" s="57"/>
      <c r="O108" s="57"/>
      <c r="P108" s="57"/>
      <c r="Q108" s="57"/>
      <c r="R108" s="57"/>
      <c r="S108" s="57"/>
      <c r="T108" s="57"/>
      <c r="U108" s="1"/>
    </row>
    <row r="109" spans="1:21" ht="15">
      <c r="A109" s="1"/>
      <c r="M109" s="57"/>
      <c r="N109" s="57"/>
      <c r="O109" s="57"/>
      <c r="P109" s="57"/>
      <c r="Q109" s="57"/>
      <c r="R109" s="57"/>
      <c r="S109" s="57"/>
      <c r="T109" s="57"/>
      <c r="U109" s="1"/>
    </row>
    <row r="110" spans="1:21" ht="15">
      <c r="A110" s="1"/>
      <c r="M110" s="57"/>
      <c r="N110" s="57"/>
      <c r="O110" s="57"/>
      <c r="P110" s="57"/>
      <c r="Q110" s="57"/>
      <c r="R110" s="57"/>
      <c r="S110" s="57"/>
      <c r="T110" s="57"/>
      <c r="U110" s="1"/>
    </row>
    <row r="111" spans="1:21" ht="15">
      <c r="A111" s="1"/>
      <c r="M111" s="57"/>
      <c r="N111" s="57"/>
      <c r="O111" s="57"/>
      <c r="P111" s="57"/>
      <c r="Q111" s="57"/>
      <c r="R111" s="57"/>
      <c r="S111" s="57"/>
      <c r="T111" s="57"/>
      <c r="U111" s="1"/>
    </row>
    <row r="112" spans="1:21" ht="15">
      <c r="A112" s="1"/>
      <c r="M112" s="57"/>
      <c r="N112" s="57"/>
      <c r="O112" s="57"/>
      <c r="P112" s="57"/>
      <c r="Q112" s="57"/>
      <c r="R112" s="57"/>
      <c r="S112" s="57"/>
      <c r="T112" s="57"/>
      <c r="U112" s="1"/>
    </row>
    <row r="113" spans="1:21" ht="15">
      <c r="A113" s="1"/>
      <c r="M113" s="57"/>
      <c r="N113" s="57"/>
      <c r="O113" s="57"/>
      <c r="P113" s="57"/>
      <c r="Q113" s="57"/>
      <c r="R113" s="57"/>
      <c r="S113" s="57"/>
      <c r="T113" s="57"/>
      <c r="U113" s="1"/>
    </row>
    <row r="114" spans="1:21" ht="15">
      <c r="A114" s="1"/>
      <c r="M114" s="57"/>
      <c r="N114" s="57"/>
      <c r="O114" s="57"/>
      <c r="P114" s="57"/>
      <c r="Q114" s="57"/>
      <c r="R114" s="57"/>
      <c r="S114" s="57"/>
      <c r="T114" s="57"/>
      <c r="U114" s="1"/>
    </row>
    <row r="115" spans="1:21" ht="15">
      <c r="A115" s="1"/>
      <c r="M115" s="57"/>
      <c r="N115" s="57"/>
      <c r="O115" s="57"/>
      <c r="P115" s="57"/>
      <c r="Q115" s="57"/>
      <c r="R115" s="57"/>
      <c r="S115" s="57"/>
      <c r="T115" s="57"/>
      <c r="U115" s="1"/>
    </row>
    <row r="116" spans="1:21" ht="15">
      <c r="A116" s="1"/>
      <c r="M116" s="57"/>
      <c r="N116" s="57"/>
      <c r="O116" s="57"/>
      <c r="P116" s="57"/>
      <c r="Q116" s="57"/>
      <c r="R116" s="57"/>
      <c r="S116" s="57"/>
      <c r="T116" s="57"/>
      <c r="U116" s="1"/>
    </row>
    <row r="117" spans="1:21" ht="15">
      <c r="A117" s="1"/>
      <c r="M117" s="57"/>
      <c r="N117" s="57"/>
      <c r="O117" s="57"/>
      <c r="P117" s="57"/>
      <c r="Q117" s="57"/>
      <c r="R117" s="57"/>
      <c r="S117" s="57"/>
      <c r="T117" s="57"/>
      <c r="U117" s="1"/>
    </row>
    <row r="118" spans="1:21" ht="15">
      <c r="A118" s="1"/>
      <c r="M118" s="57"/>
      <c r="N118" s="57"/>
      <c r="O118" s="57"/>
      <c r="P118" s="57"/>
      <c r="Q118" s="57"/>
      <c r="R118" s="57"/>
      <c r="S118" s="57"/>
      <c r="T118" s="57"/>
      <c r="U118" s="1"/>
    </row>
    <row r="119" spans="1:21" ht="15">
      <c r="A119" s="1"/>
      <c r="M119" s="57"/>
      <c r="N119" s="57"/>
      <c r="O119" s="57"/>
      <c r="P119" s="57"/>
      <c r="Q119" s="57"/>
      <c r="R119" s="57"/>
      <c r="S119" s="57"/>
      <c r="T119" s="57"/>
      <c r="U119" s="1"/>
    </row>
    <row r="120" spans="1:21" ht="15">
      <c r="A120" s="1"/>
      <c r="M120" s="57"/>
      <c r="N120" s="57"/>
      <c r="O120" s="57"/>
      <c r="P120" s="57"/>
      <c r="Q120" s="57"/>
      <c r="R120" s="57"/>
      <c r="S120" s="57"/>
      <c r="T120" s="57"/>
      <c r="U120" s="1"/>
    </row>
    <row r="121" spans="1:21" ht="15">
      <c r="A121" s="1"/>
      <c r="M121" s="57"/>
      <c r="N121" s="57"/>
      <c r="O121" s="57"/>
      <c r="P121" s="57"/>
      <c r="Q121" s="57"/>
      <c r="R121" s="57"/>
      <c r="S121" s="57"/>
      <c r="T121" s="57"/>
      <c r="U121" s="1"/>
    </row>
    <row r="122" spans="1:21" ht="15">
      <c r="A122" s="1"/>
      <c r="M122" s="57"/>
      <c r="N122" s="57"/>
      <c r="O122" s="57"/>
      <c r="P122" s="57"/>
      <c r="Q122" s="57"/>
      <c r="R122" s="57"/>
      <c r="S122" s="57"/>
      <c r="T122" s="57"/>
      <c r="U122" s="1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D121"/>
  <sheetViews>
    <sheetView showGridLines="0" workbookViewId="0">
      <selection activeCell="B2" sqref="B2"/>
    </sheetView>
  </sheetViews>
  <sheetFormatPr defaultColWidth="0" defaultRowHeight="0" customHeight="1" zeroHeight="1"/>
  <cols>
    <col min="1" max="1" width="3.7109375" style="75" customWidth="1"/>
    <col min="2" max="3" width="2.7109375" style="75" customWidth="1"/>
    <col min="4" max="4" width="27.7109375" style="75" customWidth="1"/>
    <col min="5" max="24" width="7.7109375" style="75" customWidth="1"/>
    <col min="25" max="25" width="3.7109375" style="75" customWidth="1"/>
    <col min="26" max="108" width="0" style="75" hidden="1" customWidth="1"/>
    <col min="109" max="16384" width="9.140625" style="75" hidden="1"/>
  </cols>
  <sheetData>
    <row r="1" spans="1:25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3.25">
      <c r="A2" s="1"/>
      <c r="B2" s="131" t="str">
        <f>Company_Name</f>
        <v>BorgWarner Inc. (BWA)</v>
      </c>
      <c r="C2" s="2"/>
      <c r="D2" s="2"/>
      <c r="E2" s="328" t="s">
        <v>3</v>
      </c>
      <c r="F2" s="328"/>
      <c r="G2" s="328"/>
      <c r="H2" s="328"/>
      <c r="I2" s="328"/>
      <c r="J2" s="328"/>
      <c r="K2" s="328"/>
      <c r="L2" s="328"/>
      <c r="M2" s="328"/>
      <c r="N2" s="126"/>
      <c r="O2" s="2"/>
      <c r="P2" s="2"/>
      <c r="Q2" s="2"/>
      <c r="R2" s="2"/>
      <c r="S2" s="2"/>
      <c r="T2" s="2"/>
      <c r="U2" s="2"/>
      <c r="V2" s="2"/>
      <c r="W2" s="2"/>
      <c r="X2" s="2"/>
      <c r="Y2" s="1"/>
    </row>
    <row r="3" spans="1:25" ht="18.75">
      <c r="A3" s="1"/>
      <c r="B3" s="132" t="s">
        <v>217</v>
      </c>
      <c r="C3" s="2"/>
      <c r="D3" s="2"/>
      <c r="E3" s="130" t="s">
        <v>201</v>
      </c>
      <c r="F3" s="130" t="s">
        <v>202</v>
      </c>
      <c r="G3" s="130" t="s">
        <v>203</v>
      </c>
      <c r="H3" s="130" t="s">
        <v>204</v>
      </c>
      <c r="I3" s="130"/>
      <c r="J3" s="130" t="s">
        <v>205</v>
      </c>
      <c r="K3" s="130" t="s">
        <v>206</v>
      </c>
      <c r="L3" s="130" t="s">
        <v>207</v>
      </c>
      <c r="M3" s="130" t="s">
        <v>208</v>
      </c>
      <c r="N3" s="126"/>
      <c r="O3" s="126" t="s">
        <v>209</v>
      </c>
      <c r="P3" s="126" t="s">
        <v>210</v>
      </c>
      <c r="Q3" s="126" t="s">
        <v>211</v>
      </c>
      <c r="R3" s="126" t="s">
        <v>212</v>
      </c>
      <c r="S3" s="126"/>
      <c r="T3" s="126" t="s">
        <v>213</v>
      </c>
      <c r="U3" s="126" t="s">
        <v>214</v>
      </c>
      <c r="V3" s="126" t="s">
        <v>215</v>
      </c>
      <c r="W3" s="126" t="s">
        <v>216</v>
      </c>
      <c r="X3" s="126"/>
      <c r="Y3" s="1"/>
    </row>
    <row r="4" spans="1:25" ht="15">
      <c r="A4" s="1"/>
      <c r="B4" s="134" t="str">
        <f>Currency</f>
        <v>(expressed in millions)</v>
      </c>
      <c r="C4" s="2"/>
      <c r="D4" s="2"/>
      <c r="E4" s="178">
        <f t="shared" ref="E4:L4" si="0">EDATE(F4,-3)</f>
        <v>43160</v>
      </c>
      <c r="F4" s="178">
        <f t="shared" si="0"/>
        <v>43252</v>
      </c>
      <c r="G4" s="178">
        <f t="shared" si="0"/>
        <v>43344</v>
      </c>
      <c r="H4" s="178">
        <f>EDATE(J4,-3)</f>
        <v>43435</v>
      </c>
      <c r="I4" s="199" t="s">
        <v>219</v>
      </c>
      <c r="J4" s="178">
        <f t="shared" si="0"/>
        <v>43525</v>
      </c>
      <c r="K4" s="178">
        <f t="shared" si="0"/>
        <v>43617</v>
      </c>
      <c r="L4" s="178">
        <f t="shared" si="0"/>
        <v>43709</v>
      </c>
      <c r="M4" s="178">
        <f>LHY</f>
        <v>43800</v>
      </c>
      <c r="N4" s="199" t="s">
        <v>220</v>
      </c>
      <c r="O4" s="179">
        <f>EDATE(M4,3)</f>
        <v>43891</v>
      </c>
      <c r="P4" s="179">
        <f t="shared" ref="P4:W4" si="1">EDATE(O4,3)</f>
        <v>43983</v>
      </c>
      <c r="Q4" s="179">
        <f t="shared" si="1"/>
        <v>44075</v>
      </c>
      <c r="R4" s="179">
        <f t="shared" si="1"/>
        <v>44166</v>
      </c>
      <c r="S4" s="199" t="s">
        <v>221</v>
      </c>
      <c r="T4" s="179">
        <f>EDATE(R4,3)</f>
        <v>44256</v>
      </c>
      <c r="U4" s="179">
        <f t="shared" si="1"/>
        <v>44348</v>
      </c>
      <c r="V4" s="179">
        <f t="shared" si="1"/>
        <v>44440</v>
      </c>
      <c r="W4" s="179">
        <f t="shared" si="1"/>
        <v>44531</v>
      </c>
      <c r="X4" s="199" t="s">
        <v>222</v>
      </c>
      <c r="Y4" s="1"/>
    </row>
    <row r="5" spans="1:25" ht="15.75">
      <c r="A5" s="1"/>
      <c r="D5" s="41"/>
      <c r="E5" s="22"/>
      <c r="F5" s="22"/>
      <c r="G5" s="22"/>
      <c r="H5" s="124"/>
      <c r="I5" s="200"/>
      <c r="J5" s="124"/>
      <c r="K5" s="43"/>
      <c r="L5" s="124"/>
      <c r="M5" s="124"/>
      <c r="N5" s="200"/>
      <c r="O5" s="129"/>
      <c r="P5" s="127"/>
      <c r="Q5" s="127"/>
      <c r="R5" s="127"/>
      <c r="S5" s="207"/>
      <c r="T5" s="127"/>
      <c r="U5" s="127"/>
      <c r="V5" s="127"/>
      <c r="W5" s="128"/>
      <c r="X5" s="207"/>
      <c r="Y5" s="1"/>
    </row>
    <row r="6" spans="1:25" ht="15">
      <c r="A6" s="1"/>
      <c r="C6" s="180" t="s">
        <v>218</v>
      </c>
      <c r="D6" s="181"/>
      <c r="E6" s="139"/>
      <c r="F6" s="140"/>
      <c r="G6" s="140"/>
      <c r="H6" s="141">
        <v>6447</v>
      </c>
      <c r="I6" s="201"/>
      <c r="J6" s="139"/>
      <c r="K6" s="140"/>
      <c r="L6" s="140"/>
      <c r="M6" s="141">
        <v>6214</v>
      </c>
      <c r="N6" s="201"/>
      <c r="O6" s="142"/>
      <c r="P6" s="143"/>
      <c r="Q6" s="143"/>
      <c r="R6" s="144"/>
      <c r="S6" s="201"/>
      <c r="T6" s="142"/>
      <c r="U6" s="143"/>
      <c r="V6" s="143"/>
      <c r="W6" s="144"/>
      <c r="X6" s="201"/>
      <c r="Y6" s="135"/>
    </row>
    <row r="7" spans="1:25" ht="15">
      <c r="A7" s="1"/>
      <c r="C7" s="181"/>
      <c r="D7" s="182"/>
      <c r="E7" s="139"/>
      <c r="F7" s="140"/>
      <c r="G7" s="140"/>
      <c r="H7" s="141">
        <v>4140</v>
      </c>
      <c r="I7" s="201"/>
      <c r="J7" s="139"/>
      <c r="K7" s="140"/>
      <c r="L7" s="140"/>
      <c r="M7" s="141">
        <v>4015</v>
      </c>
      <c r="N7" s="201"/>
      <c r="O7" s="157"/>
      <c r="P7" s="158"/>
      <c r="Q7" s="158"/>
      <c r="R7" s="159"/>
      <c r="S7" s="208"/>
      <c r="T7" s="157"/>
      <c r="U7" s="158"/>
      <c r="V7" s="158"/>
      <c r="W7" s="159"/>
      <c r="X7" s="208"/>
      <c r="Y7" s="135"/>
    </row>
    <row r="8" spans="1:25" ht="15">
      <c r="A8" s="1"/>
      <c r="C8" s="181"/>
      <c r="D8" s="138" t="s">
        <v>25</v>
      </c>
      <c r="E8" s="139">
        <v>1701</v>
      </c>
      <c r="F8" s="140">
        <v>1660</v>
      </c>
      <c r="G8" s="140">
        <v>1501.7</v>
      </c>
      <c r="H8" s="141">
        <f>H6-SUM(E8:G8)</f>
        <v>1584.3000000000002</v>
      </c>
      <c r="I8" s="201">
        <f>SUM(E8:H8)</f>
        <v>6447</v>
      </c>
      <c r="J8" s="139">
        <v>1584</v>
      </c>
      <c r="K8" s="140">
        <v>1553</v>
      </c>
      <c r="L8" s="140">
        <v>1500</v>
      </c>
      <c r="M8" s="141">
        <f>M6-SUM(J8:L8)</f>
        <v>1577</v>
      </c>
      <c r="N8" s="201">
        <f>SUM(J8:M8)</f>
        <v>6214</v>
      </c>
      <c r="O8" s="142">
        <f>J8*(1+O9)</f>
        <v>1473.12</v>
      </c>
      <c r="P8" s="143">
        <f>K8-(1+P9)</f>
        <v>1552.06</v>
      </c>
      <c r="Q8" s="143">
        <f>L8*(1+Q9)</f>
        <v>1470</v>
      </c>
      <c r="R8" s="144">
        <f>M8*(1+R9)</f>
        <v>1545.46</v>
      </c>
      <c r="S8" s="201">
        <f>SUM(O8:R8)</f>
        <v>6040.64</v>
      </c>
      <c r="T8" s="142">
        <f>O8*(1+T9)</f>
        <v>1458.3887999999999</v>
      </c>
      <c r="U8" s="143">
        <f>P8*(1+U9)</f>
        <v>1536.5393999999999</v>
      </c>
      <c r="V8" s="143">
        <f>Q8*(1+V9)</f>
        <v>1499.4</v>
      </c>
      <c r="W8" s="144">
        <f>R8*(1+W9)</f>
        <v>1576.3692000000001</v>
      </c>
      <c r="X8" s="201">
        <f>SUM(T8:W8)</f>
        <v>6070.6974</v>
      </c>
      <c r="Y8" s="135"/>
    </row>
    <row r="9" spans="1:25" ht="15">
      <c r="A9" s="1"/>
      <c r="C9" s="181"/>
      <c r="D9" s="188" t="s">
        <v>26</v>
      </c>
      <c r="E9" s="189"/>
      <c r="F9" s="190"/>
      <c r="G9" s="190"/>
      <c r="H9" s="191"/>
      <c r="I9" s="202"/>
      <c r="J9" s="192">
        <f>J8/E8-1</f>
        <v>-6.8783068783068835E-2</v>
      </c>
      <c r="K9" s="193">
        <f>K8/F8-1</f>
        <v>-6.4457831325301251E-2</v>
      </c>
      <c r="L9" s="193">
        <f>L8/G8-1</f>
        <v>-1.1320503429447237E-3</v>
      </c>
      <c r="M9" s="194">
        <f>M8/H8-1</f>
        <v>-4.6077131856341325E-3</v>
      </c>
      <c r="N9" s="203">
        <f t="shared" ref="N9" si="2">N8/I8-1</f>
        <v>-3.614084070110124E-2</v>
      </c>
      <c r="O9" s="195">
        <v>-7.0000000000000007E-2</v>
      </c>
      <c r="P9" s="196">
        <v>-0.06</v>
      </c>
      <c r="Q9" s="196">
        <v>-0.02</v>
      </c>
      <c r="R9" s="197">
        <v>-0.02</v>
      </c>
      <c r="S9" s="202">
        <f t="shared" ref="S9" si="3">S8/N8-1</f>
        <v>-2.7898294174444782E-2</v>
      </c>
      <c r="T9" s="195">
        <v>-0.01</v>
      </c>
      <c r="U9" s="196">
        <v>-0.01</v>
      </c>
      <c r="V9" s="196">
        <v>0.02</v>
      </c>
      <c r="W9" s="197">
        <v>0.02</v>
      </c>
      <c r="X9" s="202">
        <f t="shared" ref="X9" si="4">X8/S8-1</f>
        <v>4.9758634846637229E-3</v>
      </c>
      <c r="Y9" s="135"/>
    </row>
    <row r="10" spans="1:25" ht="15">
      <c r="A10" s="1"/>
      <c r="C10" s="181"/>
      <c r="D10" s="188" t="s">
        <v>27</v>
      </c>
      <c r="E10" s="192">
        <f t="shared" ref="E10:L10" si="5">E8/E$16</f>
        <v>0.61099137931034486</v>
      </c>
      <c r="F10" s="193">
        <f t="shared" si="5"/>
        <v>0.61618411284335561</v>
      </c>
      <c r="G10" s="193">
        <f t="shared" si="5"/>
        <v>0.60589065967318945</v>
      </c>
      <c r="H10" s="194">
        <f t="shared" si="5"/>
        <v>0.61562074995142813</v>
      </c>
      <c r="I10" s="203">
        <f t="shared" si="5"/>
        <v>0.6089543780107679</v>
      </c>
      <c r="J10" s="192">
        <f t="shared" si="5"/>
        <v>0.61730319563522995</v>
      </c>
      <c r="K10" s="193">
        <f t="shared" si="5"/>
        <v>0.60878087024696192</v>
      </c>
      <c r="L10" s="193">
        <f t="shared" si="5"/>
        <v>0.6019261637239165</v>
      </c>
      <c r="M10" s="194">
        <f t="shared" ref="M10:W10" si="6">M8/M$16</f>
        <v>0.61625635013677216</v>
      </c>
      <c r="N10" s="203">
        <f t="shared" si="6"/>
        <v>0.60748851305112916</v>
      </c>
      <c r="O10" s="195">
        <f t="shared" si="6"/>
        <v>0.60977548181998809</v>
      </c>
      <c r="P10" s="196">
        <f t="shared" si="6"/>
        <v>0.60886826279181971</v>
      </c>
      <c r="Q10" s="196">
        <f t="shared" si="6"/>
        <v>0.59949104433786826</v>
      </c>
      <c r="R10" s="197">
        <f t="shared" si="6"/>
        <v>0.59466156705362672</v>
      </c>
      <c r="S10" s="202">
        <f t="shared" ref="S10" si="7">S8/S$16</f>
        <v>0.60310506294990962</v>
      </c>
      <c r="T10" s="195">
        <f t="shared" si="6"/>
        <v>0.60977548181998809</v>
      </c>
      <c r="U10" s="196">
        <f t="shared" si="6"/>
        <v>0.60886826279181983</v>
      </c>
      <c r="V10" s="196">
        <f t="shared" si="6"/>
        <v>0.59949104433786815</v>
      </c>
      <c r="W10" s="197">
        <f t="shared" si="6"/>
        <v>0.59466156705362683</v>
      </c>
      <c r="X10" s="202">
        <f t="shared" ref="X10" si="8">X8/X$16</f>
        <v>0.60301326374465702</v>
      </c>
      <c r="Y10" s="135"/>
    </row>
    <row r="11" spans="1:25" ht="15">
      <c r="A11" s="1"/>
      <c r="C11" s="181"/>
      <c r="D11" s="138"/>
      <c r="E11" s="183"/>
      <c r="F11" s="176"/>
      <c r="G11" s="184"/>
      <c r="H11" s="185"/>
      <c r="I11" s="204"/>
      <c r="J11" s="183"/>
      <c r="K11" s="176"/>
      <c r="L11" s="176"/>
      <c r="M11" s="186"/>
      <c r="N11" s="204"/>
      <c r="O11" s="157"/>
      <c r="P11" s="158"/>
      <c r="Q11" s="158"/>
      <c r="R11" s="159"/>
      <c r="S11" s="208"/>
      <c r="T11" s="157"/>
      <c r="U11" s="158"/>
      <c r="V11" s="158"/>
      <c r="W11" s="159"/>
      <c r="X11" s="208"/>
      <c r="Y11" s="135"/>
    </row>
    <row r="12" spans="1:25" ht="15">
      <c r="A12" s="1"/>
      <c r="C12" s="181"/>
      <c r="D12" s="138" t="s">
        <v>28</v>
      </c>
      <c r="E12" s="139">
        <v>1083</v>
      </c>
      <c r="F12" s="140">
        <v>1034</v>
      </c>
      <c r="G12" s="140">
        <v>976.8</v>
      </c>
      <c r="H12" s="141">
        <f>H7-SUM(E12:G12)</f>
        <v>1046.1999999999998</v>
      </c>
      <c r="I12" s="201">
        <f>SUM(E12:H12)</f>
        <v>4140</v>
      </c>
      <c r="J12" s="139">
        <v>982</v>
      </c>
      <c r="K12" s="140">
        <v>998</v>
      </c>
      <c r="L12" s="140">
        <v>992</v>
      </c>
      <c r="M12" s="141">
        <f>M7-SUM(J12:L12)</f>
        <v>1043</v>
      </c>
      <c r="N12" s="201">
        <f>SUM(J12:M12)</f>
        <v>4015</v>
      </c>
      <c r="O12" s="142">
        <f>J12*(1+O13)</f>
        <v>942.71999999999991</v>
      </c>
      <c r="P12" s="143">
        <f>K12-(1+P13)</f>
        <v>997.03</v>
      </c>
      <c r="Q12" s="143">
        <f>L12*(1+Q13)</f>
        <v>982.08</v>
      </c>
      <c r="R12" s="144">
        <f>M12*(1+R13)</f>
        <v>1053.43</v>
      </c>
      <c r="S12" s="201">
        <f>SUM(O12:R12)</f>
        <v>3975.26</v>
      </c>
      <c r="T12" s="142">
        <f>O12*(1+T13)</f>
        <v>933.29279999999994</v>
      </c>
      <c r="U12" s="143">
        <f>P12*(1+U13)</f>
        <v>987.05970000000002</v>
      </c>
      <c r="V12" s="143">
        <f>Q12*(1+V13)</f>
        <v>1001.7216000000001</v>
      </c>
      <c r="W12" s="144">
        <f>R12*(1+W13)</f>
        <v>1074.4986000000001</v>
      </c>
      <c r="X12" s="201">
        <f>SUM(T12:W12)</f>
        <v>3996.5726999999997</v>
      </c>
      <c r="Y12" s="135"/>
    </row>
    <row r="13" spans="1:25" ht="15">
      <c r="A13" s="1"/>
      <c r="C13" s="181"/>
      <c r="D13" s="198" t="s">
        <v>26</v>
      </c>
      <c r="E13" s="189"/>
      <c r="F13" s="190"/>
      <c r="G13" s="190"/>
      <c r="H13" s="191"/>
      <c r="I13" s="203"/>
      <c r="J13" s="192">
        <f>J12/E12-1</f>
        <v>-9.3259464450600182E-2</v>
      </c>
      <c r="K13" s="193">
        <f>K12/F12-1</f>
        <v>-3.4816247582205029E-2</v>
      </c>
      <c r="L13" s="193">
        <f>L12/G12-1</f>
        <v>1.5561015561015523E-2</v>
      </c>
      <c r="M13" s="194">
        <f t="shared" ref="M13:N13" si="9">M12/H12-1</f>
        <v>-3.0586885872679881E-3</v>
      </c>
      <c r="N13" s="203">
        <f t="shared" si="9"/>
        <v>-3.0193236714975868E-2</v>
      </c>
      <c r="O13" s="195">
        <v>-0.04</v>
      </c>
      <c r="P13" s="196">
        <v>-0.03</v>
      </c>
      <c r="Q13" s="196">
        <v>-0.01</v>
      </c>
      <c r="R13" s="197">
        <v>0.01</v>
      </c>
      <c r="S13" s="202">
        <f t="shared" ref="S13" si="10">S12/N12-1</f>
        <v>-9.8978829389787526E-3</v>
      </c>
      <c r="T13" s="195">
        <v>-0.01</v>
      </c>
      <c r="U13" s="196">
        <v>-0.01</v>
      </c>
      <c r="V13" s="196">
        <v>0.02</v>
      </c>
      <c r="W13" s="197">
        <v>0.02</v>
      </c>
      <c r="X13" s="202">
        <f t="shared" ref="X13" si="11">X12/S12-1</f>
        <v>5.3613348560848095E-3</v>
      </c>
      <c r="Y13" s="135"/>
    </row>
    <row r="14" spans="1:25" ht="15">
      <c r="A14" s="1"/>
      <c r="C14" s="181"/>
      <c r="D14" s="198" t="s">
        <v>27</v>
      </c>
      <c r="E14" s="192">
        <f t="shared" ref="E14:L14" si="12">E12/E$16</f>
        <v>0.38900862068965519</v>
      </c>
      <c r="F14" s="193">
        <f t="shared" si="12"/>
        <v>0.38381588715664439</v>
      </c>
      <c r="G14" s="193">
        <f t="shared" si="12"/>
        <v>0.39410934032681055</v>
      </c>
      <c r="H14" s="194">
        <f t="shared" si="12"/>
        <v>0.40652807460656687</v>
      </c>
      <c r="I14" s="203">
        <f t="shared" si="12"/>
        <v>0.3910456219892321</v>
      </c>
      <c r="J14" s="192">
        <f t="shared" si="12"/>
        <v>0.38269680436477005</v>
      </c>
      <c r="K14" s="193">
        <f t="shared" si="12"/>
        <v>0.39121912975303802</v>
      </c>
      <c r="L14" s="193">
        <f t="shared" si="12"/>
        <v>0.39807383627608345</v>
      </c>
      <c r="M14" s="194">
        <f t="shared" ref="M14:X14" si="13">M12/M$16</f>
        <v>0.40758108636186008</v>
      </c>
      <c r="N14" s="203">
        <f t="shared" si="13"/>
        <v>0.39251148694887084</v>
      </c>
      <c r="O14" s="195">
        <f t="shared" si="13"/>
        <v>0.39022451818001191</v>
      </c>
      <c r="P14" s="196">
        <f t="shared" si="13"/>
        <v>0.39113173720818012</v>
      </c>
      <c r="Q14" s="196">
        <f t="shared" si="13"/>
        <v>0.40050895566213179</v>
      </c>
      <c r="R14" s="197">
        <f t="shared" si="13"/>
        <v>0.40533843294637323</v>
      </c>
      <c r="S14" s="202">
        <f t="shared" si="13"/>
        <v>0.39689493705009032</v>
      </c>
      <c r="T14" s="195">
        <f t="shared" si="13"/>
        <v>0.39022451818001191</v>
      </c>
      <c r="U14" s="196">
        <f t="shared" si="13"/>
        <v>0.39113173720818017</v>
      </c>
      <c r="V14" s="196">
        <f t="shared" si="13"/>
        <v>0.40050895566213168</v>
      </c>
      <c r="W14" s="197">
        <f t="shared" si="13"/>
        <v>0.40533843294637328</v>
      </c>
      <c r="X14" s="202">
        <f t="shared" si="13"/>
        <v>0.39698673625534292</v>
      </c>
      <c r="Y14" s="135"/>
    </row>
    <row r="15" spans="1:25" ht="15.75" thickBot="1">
      <c r="A15" s="1"/>
      <c r="C15" s="181"/>
      <c r="D15" s="138"/>
      <c r="E15" s="183"/>
      <c r="F15" s="176"/>
      <c r="G15" s="176"/>
      <c r="H15" s="186"/>
      <c r="I15" s="205"/>
      <c r="J15" s="183"/>
      <c r="K15" s="176"/>
      <c r="L15" s="176"/>
      <c r="M15" s="186"/>
      <c r="N15" s="205"/>
      <c r="O15" s="157"/>
      <c r="P15" s="158"/>
      <c r="Q15" s="158"/>
      <c r="R15" s="159"/>
      <c r="S15" s="208"/>
      <c r="T15" s="157"/>
      <c r="U15" s="158"/>
      <c r="V15" s="158"/>
      <c r="W15" s="159"/>
      <c r="X15" s="208"/>
      <c r="Y15" s="135"/>
    </row>
    <row r="16" spans="1:25" ht="15.75" thickBot="1">
      <c r="A16" s="1"/>
      <c r="C16" s="181"/>
      <c r="D16" s="187" t="s">
        <v>29</v>
      </c>
      <c r="E16" s="169">
        <f>SUM(E12+E8)</f>
        <v>2784</v>
      </c>
      <c r="F16" s="170">
        <f>SUM(F12+F8)</f>
        <v>2694</v>
      </c>
      <c r="G16" s="170">
        <f>SUM(G12+G8)</f>
        <v>2478.5</v>
      </c>
      <c r="H16" s="171">
        <f>SUM(H12+H8)-57</f>
        <v>2573.5</v>
      </c>
      <c r="I16" s="206">
        <f>SUM(I12,I8)</f>
        <v>10587</v>
      </c>
      <c r="J16" s="169">
        <f>SUM(J12+J8)</f>
        <v>2566</v>
      </c>
      <c r="K16" s="170">
        <f>SUM(K12+K8)</f>
        <v>2551</v>
      </c>
      <c r="L16" s="170">
        <f>SUM(L12+L8)</f>
        <v>2492</v>
      </c>
      <c r="M16" s="171">
        <f>SUM(M12+M8)-61</f>
        <v>2559</v>
      </c>
      <c r="N16" s="206">
        <f>SUM(N12,N8)</f>
        <v>10229</v>
      </c>
      <c r="O16" s="172">
        <f t="shared" ref="O16:W16" si="14">SUM(O12+O8)</f>
        <v>2415.8399999999997</v>
      </c>
      <c r="P16" s="173">
        <f t="shared" si="14"/>
        <v>2549.09</v>
      </c>
      <c r="Q16" s="173">
        <f t="shared" si="14"/>
        <v>2452.08</v>
      </c>
      <c r="R16" s="174">
        <f t="shared" si="14"/>
        <v>2598.8900000000003</v>
      </c>
      <c r="S16" s="206">
        <f>SUM(S12,S8)</f>
        <v>10015.900000000001</v>
      </c>
      <c r="T16" s="172">
        <f t="shared" si="14"/>
        <v>2391.6815999999999</v>
      </c>
      <c r="U16" s="173">
        <f t="shared" si="14"/>
        <v>2523.5990999999999</v>
      </c>
      <c r="V16" s="173">
        <f t="shared" si="14"/>
        <v>2501.1216000000004</v>
      </c>
      <c r="W16" s="174">
        <f t="shared" si="14"/>
        <v>2650.8678</v>
      </c>
      <c r="X16" s="206">
        <f>SUM(X12,X8)</f>
        <v>10067.2701</v>
      </c>
      <c r="Y16" s="135"/>
    </row>
    <row r="17" spans="1:25" ht="15">
      <c r="A17" s="1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"/>
    </row>
    <row r="18" spans="1:25" ht="15">
      <c r="A18" s="1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"/>
    </row>
    <row r="19" spans="1:25" ht="15">
      <c r="A19" s="1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"/>
    </row>
    <row r="20" spans="1:25" ht="15">
      <c r="A20" s="1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"/>
    </row>
    <row r="21" spans="1:25" ht="15">
      <c r="A21" s="1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"/>
    </row>
    <row r="22" spans="1:25" ht="15">
      <c r="A22" s="1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"/>
    </row>
    <row r="23" spans="1:25" ht="15">
      <c r="A23" s="1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"/>
    </row>
    <row r="24" spans="1:25" ht="15">
      <c r="A24" s="1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"/>
    </row>
    <row r="25" spans="1:25" ht="15">
      <c r="A25" s="1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"/>
    </row>
    <row r="26" spans="1:25" ht="15">
      <c r="A26" s="1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"/>
    </row>
    <row r="27" spans="1:25" ht="15">
      <c r="A27" s="1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"/>
    </row>
    <row r="28" spans="1:25" ht="15">
      <c r="A28" s="1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"/>
    </row>
    <row r="29" spans="1:25" ht="15">
      <c r="A29" s="1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"/>
    </row>
    <row r="30" spans="1:25" ht="15">
      <c r="A30" s="1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"/>
    </row>
    <row r="31" spans="1:25" ht="15">
      <c r="A31" s="1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"/>
    </row>
    <row r="32" spans="1:25" ht="15">
      <c r="A32" s="1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"/>
    </row>
    <row r="33" spans="1:25" ht="15">
      <c r="A33" s="1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"/>
    </row>
    <row r="34" spans="1:25" ht="15">
      <c r="A34" s="1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"/>
    </row>
    <row r="35" spans="1:25" ht="15">
      <c r="A35" s="1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"/>
    </row>
    <row r="36" spans="1:25" ht="15">
      <c r="A36" s="1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"/>
    </row>
    <row r="37" spans="1:25" ht="15">
      <c r="A37" s="1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"/>
    </row>
    <row r="38" spans="1:25" ht="15">
      <c r="A38" s="1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"/>
    </row>
    <row r="39" spans="1:25" ht="15">
      <c r="A39" s="1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"/>
    </row>
    <row r="40" spans="1:25" ht="15">
      <c r="A40" s="1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"/>
    </row>
    <row r="41" spans="1:25" ht="15">
      <c r="A41" s="1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"/>
    </row>
    <row r="42" spans="1:25" ht="15">
      <c r="A42" s="1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"/>
    </row>
    <row r="43" spans="1:25" ht="15">
      <c r="A43" s="1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"/>
    </row>
    <row r="44" spans="1:25" ht="15">
      <c r="A44" s="1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"/>
    </row>
    <row r="45" spans="1:25" ht="15">
      <c r="A45" s="1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"/>
    </row>
    <row r="46" spans="1:25" ht="15">
      <c r="A46" s="1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"/>
    </row>
    <row r="47" spans="1:25" ht="15">
      <c r="A47" s="1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"/>
    </row>
    <row r="48" spans="1:25" ht="15">
      <c r="A48" s="1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"/>
    </row>
    <row r="49" spans="1:25" ht="15">
      <c r="A49" s="1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"/>
    </row>
    <row r="50" spans="1:25" ht="15">
      <c r="A50" s="1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"/>
    </row>
    <row r="51" spans="1:25" ht="15">
      <c r="A51" s="1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"/>
    </row>
    <row r="52" spans="1:25" ht="15">
      <c r="A52" s="1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"/>
    </row>
    <row r="53" spans="1:25" ht="15">
      <c r="A53" s="1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"/>
    </row>
    <row r="54" spans="1:25" ht="15">
      <c r="A54" s="1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"/>
    </row>
    <row r="55" spans="1:25" ht="15">
      <c r="A55" s="1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"/>
    </row>
    <row r="56" spans="1:25" ht="15">
      <c r="A56" s="1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"/>
    </row>
    <row r="57" spans="1:25" ht="15">
      <c r="A57" s="1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"/>
    </row>
    <row r="58" spans="1:25" ht="15">
      <c r="A58" s="1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"/>
    </row>
    <row r="59" spans="1:25" ht="15">
      <c r="A59" s="1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"/>
    </row>
    <row r="60" spans="1:25" ht="15">
      <c r="A60" s="1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"/>
    </row>
    <row r="61" spans="1:25" ht="15">
      <c r="A61" s="1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"/>
    </row>
    <row r="62" spans="1:25" ht="15">
      <c r="A62" s="1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"/>
    </row>
    <row r="63" spans="1:25" ht="15">
      <c r="A63" s="1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"/>
    </row>
    <row r="64" spans="1:25" ht="15">
      <c r="A64" s="1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"/>
    </row>
    <row r="65" spans="1:25" ht="15">
      <c r="A65" s="1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"/>
    </row>
    <row r="66" spans="1:25" ht="15">
      <c r="A66" s="1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"/>
    </row>
    <row r="67" spans="1:25" ht="15">
      <c r="A67" s="1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"/>
    </row>
    <row r="68" spans="1:25" ht="15">
      <c r="A68" s="1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"/>
    </row>
    <row r="69" spans="1:25" ht="15">
      <c r="A69" s="1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"/>
    </row>
    <row r="70" spans="1:25" ht="15">
      <c r="A70" s="1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"/>
    </row>
    <row r="71" spans="1:25" ht="15">
      <c r="A71" s="1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"/>
    </row>
    <row r="72" spans="1:25" ht="15">
      <c r="A72" s="1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"/>
    </row>
    <row r="73" spans="1:25" ht="15">
      <c r="A73" s="1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"/>
    </row>
    <row r="74" spans="1:25" ht="15">
      <c r="A74" s="1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"/>
    </row>
    <row r="75" spans="1:25" ht="15">
      <c r="A75" s="1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"/>
    </row>
    <row r="76" spans="1:25" ht="15">
      <c r="A76" s="1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"/>
    </row>
    <row r="77" spans="1:25" ht="15">
      <c r="A77" s="1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"/>
    </row>
    <row r="78" spans="1:25" ht="15">
      <c r="A78" s="1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"/>
    </row>
    <row r="79" spans="1:25" ht="15">
      <c r="A79" s="1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"/>
    </row>
    <row r="80" spans="1:25" ht="15">
      <c r="A80" s="1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"/>
    </row>
    <row r="81" spans="1:25" ht="15">
      <c r="A81" s="1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"/>
    </row>
    <row r="82" spans="1:25" ht="15">
      <c r="A82" s="1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"/>
    </row>
    <row r="83" spans="1:25" ht="15">
      <c r="A83" s="1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"/>
    </row>
    <row r="84" spans="1:25" ht="15">
      <c r="A84" s="1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"/>
    </row>
    <row r="85" spans="1:25" ht="15">
      <c r="A85" s="1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"/>
    </row>
    <row r="86" spans="1:25" ht="15">
      <c r="A86" s="1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"/>
    </row>
    <row r="87" spans="1:25" ht="15">
      <c r="A87" s="1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"/>
    </row>
    <row r="88" spans="1:25" ht="15">
      <c r="A88" s="1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"/>
    </row>
    <row r="89" spans="1:25" ht="15">
      <c r="A89" s="1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"/>
    </row>
    <row r="90" spans="1:25" ht="15">
      <c r="A90" s="1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"/>
    </row>
    <row r="91" spans="1:25" ht="15">
      <c r="A91" s="1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"/>
    </row>
    <row r="92" spans="1:25" ht="15">
      <c r="A92" s="1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"/>
    </row>
    <row r="93" spans="1:25" ht="15">
      <c r="A93" s="1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"/>
    </row>
    <row r="94" spans="1:25" ht="15">
      <c r="A94" s="1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"/>
    </row>
    <row r="95" spans="1:25" ht="15">
      <c r="A95" s="1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"/>
    </row>
    <row r="96" spans="1:25" ht="15">
      <c r="A96" s="1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"/>
    </row>
    <row r="97" spans="1:25" ht="15">
      <c r="A97" s="1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"/>
    </row>
    <row r="98" spans="1:25" ht="15">
      <c r="A98" s="1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"/>
    </row>
    <row r="99" spans="1:25" ht="15">
      <c r="A99" s="1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"/>
    </row>
    <row r="100" spans="1:25" ht="15">
      <c r="A100" s="1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"/>
    </row>
    <row r="101" spans="1:25" ht="15">
      <c r="A101" s="1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"/>
    </row>
    <row r="102" spans="1:25" ht="15">
      <c r="A102" s="1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"/>
    </row>
    <row r="103" spans="1:25" ht="15">
      <c r="A103" s="1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"/>
    </row>
    <row r="104" spans="1:25" ht="15">
      <c r="A104" s="1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"/>
    </row>
    <row r="105" spans="1:25" ht="15">
      <c r="A105" s="1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"/>
    </row>
    <row r="106" spans="1:25" ht="15">
      <c r="A106" s="1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"/>
    </row>
    <row r="107" spans="1:25" ht="15">
      <c r="A107" s="1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"/>
    </row>
    <row r="108" spans="1:25" ht="15">
      <c r="A108" s="1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"/>
    </row>
    <row r="109" spans="1:25" ht="15">
      <c r="A109" s="1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"/>
    </row>
    <row r="110" spans="1:25" ht="15">
      <c r="A110" s="1"/>
      <c r="O110" s="137"/>
      <c r="P110" s="137"/>
      <c r="Q110" s="137"/>
      <c r="R110" s="137"/>
      <c r="S110" s="137"/>
      <c r="T110" s="137"/>
      <c r="U110" s="137"/>
      <c r="V110" s="137"/>
      <c r="W110" s="137"/>
      <c r="X110" s="137"/>
      <c r="Y110" s="1"/>
    </row>
    <row r="111" spans="1:25" ht="15">
      <c r="A111" s="1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"/>
    </row>
    <row r="112" spans="1:25" ht="15">
      <c r="A112" s="1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"/>
    </row>
    <row r="113" spans="1:25" ht="15">
      <c r="A113" s="1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"/>
    </row>
    <row r="114" spans="1:25" ht="15">
      <c r="A114" s="1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"/>
    </row>
    <row r="115" spans="1:25" ht="15">
      <c r="A115" s="1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"/>
    </row>
    <row r="116" spans="1:25" ht="15">
      <c r="A116" s="1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"/>
    </row>
    <row r="117" spans="1:25" ht="15">
      <c r="A117" s="1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"/>
    </row>
    <row r="118" spans="1:25" ht="15">
      <c r="A118" s="1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"/>
    </row>
    <row r="119" spans="1:25" ht="15">
      <c r="A119" s="1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"/>
    </row>
    <row r="120" spans="1:25" ht="15">
      <c r="A120" s="1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"/>
    </row>
    <row r="121" spans="1:25" ht="15">
      <c r="A121" s="1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"/>
    </row>
  </sheetData>
  <mergeCells count="1">
    <mergeCell ref="E2:M2"/>
  </mergeCells>
  <pageMargins left="0.7" right="0.7" top="0.75" bottom="0.75" header="0.3" footer="0.3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131"/>
  <sheetViews>
    <sheetView showGridLines="0" zoomScale="110" zoomScaleNormal="110" workbookViewId="0">
      <selection activeCell="F1" sqref="F1"/>
    </sheetView>
  </sheetViews>
  <sheetFormatPr defaultColWidth="0" defaultRowHeight="0" customHeight="1" zeroHeight="1"/>
  <cols>
    <col min="1" max="1" width="3.7109375" style="75" customWidth="1"/>
    <col min="2" max="2" width="8.28515625" style="75" customWidth="1"/>
    <col min="3" max="3" width="8.42578125" style="75" customWidth="1"/>
    <col min="4" max="4" width="40.7109375" style="75" customWidth="1"/>
    <col min="5" max="9" width="7.7109375" style="75" customWidth="1"/>
    <col min="10" max="14" width="10.7109375" style="75" customWidth="1"/>
    <col min="15" max="15" width="12.85546875" style="75" customWidth="1"/>
    <col min="16" max="16" width="11.7109375" style="75" customWidth="1"/>
    <col min="17" max="24" width="10.7109375" style="75" customWidth="1"/>
    <col min="25" max="25" width="3.7109375" style="75" customWidth="1"/>
    <col min="26" max="40" width="0" style="75" hidden="1" customWidth="1"/>
    <col min="41" max="16384" width="9.140625" style="75" hidden="1"/>
  </cols>
  <sheetData>
    <row r="1" spans="1:25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1">
      <c r="A2" s="1"/>
      <c r="B2" s="5" t="str">
        <f>Company_Name</f>
        <v>BorgWarner Inc. (BWA)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"/>
    </row>
    <row r="3" spans="1:25" ht="15.75" thickBot="1">
      <c r="A3" s="1"/>
      <c r="B3" s="2"/>
      <c r="C3" s="2"/>
      <c r="D3" s="2"/>
      <c r="E3" s="2"/>
      <c r="F3" s="2"/>
      <c r="G3" s="28" t="s">
        <v>3</v>
      </c>
      <c r="H3" s="28"/>
      <c r="I3" s="28"/>
      <c r="J3" s="28"/>
      <c r="K3" s="28"/>
      <c r="L3" s="28"/>
      <c r="M3" s="28"/>
      <c r="N3" s="108"/>
      <c r="O3" s="2"/>
      <c r="P3" s="2"/>
      <c r="Q3" s="2"/>
      <c r="R3" s="2"/>
      <c r="S3" s="2"/>
      <c r="T3" s="2"/>
      <c r="U3" s="2"/>
      <c r="V3" s="2"/>
      <c r="W3" s="2"/>
      <c r="X3" s="2"/>
      <c r="Y3" s="1"/>
    </row>
    <row r="4" spans="1:25" ht="15">
      <c r="A4" s="1"/>
      <c r="B4" s="2" t="str">
        <f>Currency</f>
        <v>(expressed in millions)</v>
      </c>
      <c r="C4" s="2"/>
      <c r="D4" s="2"/>
      <c r="E4" s="331">
        <f t="shared" ref="E4:L4" si="0">EDATE(F4,-3)</f>
        <v>43160</v>
      </c>
      <c r="F4" s="331">
        <f t="shared" si="0"/>
        <v>43252</v>
      </c>
      <c r="G4" s="331">
        <f t="shared" si="0"/>
        <v>43344</v>
      </c>
      <c r="H4" s="331">
        <f>EDATE(J4,-3)</f>
        <v>43435</v>
      </c>
      <c r="I4" s="177" t="s">
        <v>219</v>
      </c>
      <c r="J4" s="331">
        <f t="shared" si="0"/>
        <v>43525</v>
      </c>
      <c r="K4" s="331">
        <f t="shared" si="0"/>
        <v>43617</v>
      </c>
      <c r="L4" s="331">
        <f t="shared" si="0"/>
        <v>43709</v>
      </c>
      <c r="M4" s="331">
        <f>LHY</f>
        <v>43800</v>
      </c>
      <c r="N4" s="177" t="s">
        <v>220</v>
      </c>
      <c r="O4" s="332">
        <f>EDATE(M4,3)</f>
        <v>43891</v>
      </c>
      <c r="P4" s="332">
        <f t="shared" ref="P4:V4" si="1">EDATE(O4,3)</f>
        <v>43983</v>
      </c>
      <c r="Q4" s="332">
        <f t="shared" si="1"/>
        <v>44075</v>
      </c>
      <c r="R4" s="332">
        <f t="shared" si="1"/>
        <v>44166</v>
      </c>
      <c r="S4" s="177" t="s">
        <v>221</v>
      </c>
      <c r="T4" s="332">
        <f>EDATE(R4,3)</f>
        <v>44256</v>
      </c>
      <c r="U4" s="332">
        <f t="shared" si="1"/>
        <v>44348</v>
      </c>
      <c r="V4" s="332">
        <f t="shared" si="1"/>
        <v>44440</v>
      </c>
      <c r="W4" s="332">
        <f>EDATE(V4,3)</f>
        <v>44531</v>
      </c>
      <c r="X4" s="177" t="s">
        <v>222</v>
      </c>
      <c r="Y4" s="1"/>
    </row>
    <row r="5" spans="1:25" ht="15">
      <c r="A5" s="1"/>
      <c r="I5" s="117"/>
      <c r="N5" s="11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"/>
    </row>
    <row r="6" spans="1:25" ht="15">
      <c r="A6" s="1"/>
      <c r="I6" s="117"/>
      <c r="N6" s="11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"/>
    </row>
    <row r="7" spans="1:25" ht="19.5">
      <c r="A7" s="1"/>
      <c r="C7" s="105" t="s">
        <v>167</v>
      </c>
      <c r="I7" s="117"/>
      <c r="N7" s="11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"/>
    </row>
    <row r="8" spans="1:25" ht="15">
      <c r="A8" s="1"/>
      <c r="D8" s="106" t="s">
        <v>168</v>
      </c>
      <c r="E8" s="44">
        <f>'INCOME STATEMENT'!E7/'INCOME STATEMENT'!E6</f>
        <v>0.78771551724137934</v>
      </c>
      <c r="F8" s="44">
        <f>'INCOME STATEMENT'!F7/'INCOME STATEMENT'!F6</f>
        <v>0.78470675575352633</v>
      </c>
      <c r="G8" s="44">
        <f>'INCOME STATEMENT'!G7/'INCOME STATEMENT'!G6</f>
        <v>0.79217110573042782</v>
      </c>
      <c r="H8" s="44">
        <f>'INCOME STATEMENT'!H7/'INCOME STATEMENT'!H6</f>
        <v>0.78865578865578867</v>
      </c>
      <c r="I8" s="118">
        <f>'INCOME STATEMENT'!I7/'INCOME STATEMENT'!I6</f>
        <v>0.78822412155745492</v>
      </c>
      <c r="J8" s="44">
        <f>'INCOME STATEMENT'!J7/'INCOME STATEMENT'!J6</f>
        <v>0.79773967264224477</v>
      </c>
      <c r="K8" s="44">
        <f>'INCOME STATEMENT'!K7/'INCOME STATEMENT'!K6</f>
        <v>0.79890239121912976</v>
      </c>
      <c r="L8" s="44">
        <f>'INCOME STATEMENT'!L7/'INCOME STATEMENT'!L6</f>
        <v>0.7897271268057785</v>
      </c>
      <c r="M8" s="44">
        <f>'INCOME STATEMENT'!M7/'INCOME STATEMENT'!M6</f>
        <v>0.78702618210238373</v>
      </c>
      <c r="N8" s="118"/>
      <c r="O8" s="355">
        <f>AVERAGE(E8:M8)</f>
        <v>0.79054096241201266</v>
      </c>
      <c r="P8" s="355">
        <f>AVERAGE(F8:O8)</f>
        <v>0.7908549007643052</v>
      </c>
      <c r="Q8" s="355">
        <f>AVERAGE(G8:P8)</f>
        <v>0.7915380279877251</v>
      </c>
      <c r="R8" s="355">
        <f>AVERAGE(H8:Q8)</f>
        <v>0.79146768601631368</v>
      </c>
      <c r="S8" s="355"/>
      <c r="T8" s="355">
        <f>AVERAGE(J8:R8)</f>
        <v>0.79222461874373673</v>
      </c>
      <c r="U8" s="355">
        <f>AVERAGE(K8:T8)</f>
        <v>0.79153523700642325</v>
      </c>
      <c r="V8" s="355">
        <f>AVERAGE(L8:U8)</f>
        <v>0.79061434272983488</v>
      </c>
      <c r="W8" s="355">
        <f>AVERAGE(M8:V8)</f>
        <v>0.79072524472034189</v>
      </c>
      <c r="X8" s="355"/>
      <c r="Y8" s="1"/>
    </row>
    <row r="9" spans="1:25" ht="15">
      <c r="A9" s="1"/>
      <c r="I9" s="117"/>
      <c r="N9" s="11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"/>
    </row>
    <row r="10" spans="1:25" ht="15">
      <c r="A10" s="1"/>
      <c r="D10" s="75" t="s">
        <v>169</v>
      </c>
      <c r="E10" s="44">
        <f>'INCOME STATEMENT'!E10/'INCOME STATEMENT'!E6</f>
        <v>9.0876436781609199E-2</v>
      </c>
      <c r="F10" s="44">
        <f>'INCOME STATEMENT'!F10/'INCOME STATEMENT'!F6</f>
        <v>8.7973273942093547E-2</v>
      </c>
      <c r="G10" s="44">
        <f>'INCOME STATEMENT'!G10/'INCOME STATEMENT'!G6</f>
        <v>9.2816787732041967E-2</v>
      </c>
      <c r="H10" s="44">
        <f>'INCOME STATEMENT'!H10/'INCOME STATEMENT'!H6</f>
        <v>8.7801087801087807E-2</v>
      </c>
      <c r="I10" s="118">
        <f>'INCOME STATEMENT'!I10/'INCOME STATEMENT'!I6</f>
        <v>8.9838556505223169E-2</v>
      </c>
      <c r="J10" s="44">
        <f>'INCOME STATEMENT'!J10/'INCOME STATEMENT'!J6</f>
        <v>8.8074824629773965E-2</v>
      </c>
      <c r="K10" s="44">
        <f>'INCOME STATEMENT'!K10/'INCOME STATEMENT'!K6</f>
        <v>8.3104664837318695E-2</v>
      </c>
      <c r="L10" s="44">
        <f>'INCOME STATEMENT'!L10/'INCOME STATEMENT'!L6</f>
        <v>9.2295345104333862E-2</v>
      </c>
      <c r="M10" s="44">
        <f>'INCOME STATEMENT'!M10/'INCOME STATEMENT'!M6</f>
        <v>8.01094177413052E-2</v>
      </c>
      <c r="N10" s="118"/>
      <c r="O10" s="355">
        <v>0.09</v>
      </c>
      <c r="P10" s="355">
        <v>0.09</v>
      </c>
      <c r="Q10" s="355">
        <v>0.09</v>
      </c>
      <c r="R10" s="355">
        <v>0.09</v>
      </c>
      <c r="S10" s="355"/>
      <c r="T10" s="355">
        <v>0.09</v>
      </c>
      <c r="U10" s="355">
        <v>0.09</v>
      </c>
      <c r="V10" s="355">
        <v>0.09</v>
      </c>
      <c r="W10" s="355">
        <v>0.09</v>
      </c>
      <c r="X10" s="355"/>
      <c r="Y10" s="1"/>
    </row>
    <row r="11" spans="1:25" ht="15">
      <c r="A11" s="1"/>
      <c r="I11" s="117"/>
      <c r="N11" s="11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"/>
    </row>
    <row r="12" spans="1:25" ht="15">
      <c r="A12" s="1"/>
      <c r="D12" s="7" t="s">
        <v>177</v>
      </c>
      <c r="E12" s="75">
        <v>-2</v>
      </c>
      <c r="F12" s="75">
        <v>-1</v>
      </c>
      <c r="G12" s="75">
        <v>-1</v>
      </c>
      <c r="H12" s="75">
        <v>-2</v>
      </c>
      <c r="I12" s="117">
        <f>SUM(E12:H12)</f>
        <v>-6</v>
      </c>
      <c r="J12" s="75">
        <v>-3</v>
      </c>
      <c r="K12" s="75">
        <v>-2</v>
      </c>
      <c r="L12" s="75">
        <v>-4</v>
      </c>
      <c r="M12" s="75">
        <v>-3</v>
      </c>
      <c r="N12" s="117">
        <f>SUM(J12:M12)</f>
        <v>-12</v>
      </c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"/>
    </row>
    <row r="13" spans="1:25" ht="15">
      <c r="A13" s="1"/>
      <c r="D13" s="75" t="s">
        <v>176</v>
      </c>
      <c r="I13" s="118">
        <f>I12/'BALANCE SHEET'!E9</f>
        <v>-8.119079837618403E-3</v>
      </c>
      <c r="N13" s="118">
        <f>N12/'BALANCE SHEET'!F9</f>
        <v>-1.4423076923076924E-2</v>
      </c>
      <c r="O13" s="355">
        <v>-0.01</v>
      </c>
      <c r="P13" s="137"/>
      <c r="Q13" s="137"/>
      <c r="R13" s="137"/>
      <c r="S13" s="137"/>
      <c r="T13" s="137"/>
      <c r="U13" s="137"/>
      <c r="V13" s="137"/>
      <c r="W13" s="137"/>
      <c r="X13" s="137"/>
      <c r="Y13" s="1"/>
    </row>
    <row r="14" spans="1:25" ht="15">
      <c r="A14" s="1"/>
      <c r="I14" s="117"/>
      <c r="N14" s="11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"/>
    </row>
    <row r="15" spans="1:25" ht="15">
      <c r="A15" s="1"/>
      <c r="D15" s="75" t="s">
        <v>9</v>
      </c>
      <c r="E15" s="75">
        <v>5</v>
      </c>
      <c r="F15" s="75">
        <v>30</v>
      </c>
      <c r="G15" s="75">
        <v>7</v>
      </c>
      <c r="H15" s="75">
        <v>52</v>
      </c>
      <c r="I15" s="117"/>
      <c r="J15" s="75">
        <v>29</v>
      </c>
      <c r="K15" s="75">
        <v>16</v>
      </c>
      <c r="L15" s="75">
        <v>18</v>
      </c>
      <c r="M15" s="75">
        <v>-138</v>
      </c>
      <c r="N15" s="117"/>
      <c r="O15" s="356">
        <f>AVERAGE(E15,J15)</f>
        <v>17</v>
      </c>
      <c r="P15" s="356">
        <f>AVERAGE(F15,K15)</f>
        <v>23</v>
      </c>
      <c r="Q15" s="356">
        <f t="shared" ref="Q15" si="2">AVERAGE(G15,L15)</f>
        <v>12.5</v>
      </c>
      <c r="R15" s="356">
        <f>AVERAGE(O15:Q15)</f>
        <v>17.5</v>
      </c>
      <c r="S15" s="356"/>
      <c r="T15" s="357">
        <f>AVERAGE(J15,O15)</f>
        <v>23</v>
      </c>
      <c r="U15" s="357">
        <f>AVERAGE(K15,P15)</f>
        <v>19.5</v>
      </c>
      <c r="V15" s="357">
        <f>AVERAGE(L15,Q15)</f>
        <v>15.25</v>
      </c>
      <c r="W15" s="357">
        <f>AVERAGE(T15:V15)</f>
        <v>19.25</v>
      </c>
      <c r="X15" s="357"/>
      <c r="Y15" s="110"/>
    </row>
    <row r="16" spans="1:25" ht="15">
      <c r="A16" s="1"/>
      <c r="I16" s="117"/>
      <c r="N16" s="117"/>
      <c r="O16" s="357"/>
      <c r="P16" s="357"/>
      <c r="Q16" s="357"/>
      <c r="R16" s="357"/>
      <c r="S16" s="357"/>
      <c r="T16" s="357"/>
      <c r="U16" s="357"/>
      <c r="V16" s="357"/>
      <c r="W16" s="357"/>
      <c r="X16" s="357"/>
      <c r="Y16" s="110"/>
    </row>
    <row r="17" spans="1:25" ht="15">
      <c r="A17" s="1"/>
      <c r="D17" s="75" t="s">
        <v>178</v>
      </c>
      <c r="E17" s="45">
        <f>IS!E15/IS!E6</f>
        <v>-1.0775862068965517E-3</v>
      </c>
      <c r="F17" s="45">
        <f>IS!F15/IS!F6</f>
        <v>-7.4239049740163323E-4</v>
      </c>
      <c r="G17" s="45">
        <f>IS!G15/IS!G6</f>
        <v>-1.2106537530266344E-3</v>
      </c>
      <c r="H17" s="45">
        <f>IS!H15/IS!H6</f>
        <v>-7.77000777000777E-4</v>
      </c>
      <c r="I17" s="117"/>
      <c r="J17" s="75" t="s">
        <v>123</v>
      </c>
      <c r="K17" s="45">
        <f>IS!K15/IS!K6</f>
        <v>1.0584084672677381E-2</v>
      </c>
      <c r="L17" s="45">
        <f>IS!L15/IS!L6</f>
        <v>-4.0128410914927769E-4</v>
      </c>
      <c r="M17" s="45">
        <f>IS!M15/IS!M6</f>
        <v>3.9077764751856197E-4</v>
      </c>
      <c r="N17" s="117"/>
      <c r="O17" s="358">
        <f>AVERAGE(E17:M17)</f>
        <v>9.6656385381729576E-4</v>
      </c>
      <c r="P17" s="359">
        <v>9.6656385381729576E-4</v>
      </c>
      <c r="Q17" s="359">
        <v>9.6656385381729576E-4</v>
      </c>
      <c r="R17" s="359">
        <v>9.6656385381729576E-4</v>
      </c>
      <c r="S17" s="359"/>
      <c r="T17" s="359">
        <v>9.6656385381729576E-4</v>
      </c>
      <c r="U17" s="359">
        <v>9.6656385381729576E-4</v>
      </c>
      <c r="V17" s="359">
        <v>9.6656385381729576E-4</v>
      </c>
      <c r="W17" s="359">
        <v>9.6656385381729576E-4</v>
      </c>
      <c r="X17" s="359"/>
      <c r="Y17" s="110"/>
    </row>
    <row r="18" spans="1:25" ht="15">
      <c r="A18" s="1"/>
      <c r="I18" s="117"/>
      <c r="N18" s="117"/>
      <c r="O18" s="357"/>
      <c r="P18" s="357"/>
      <c r="Q18" s="357"/>
      <c r="R18" s="357"/>
      <c r="S18" s="357"/>
      <c r="T18" s="357"/>
      <c r="U18" s="357"/>
      <c r="V18" s="357"/>
      <c r="W18" s="357"/>
      <c r="X18" s="357"/>
      <c r="Y18" s="110"/>
    </row>
    <row r="19" spans="1:25" ht="15">
      <c r="A19" s="1"/>
      <c r="D19" s="75" t="s">
        <v>15</v>
      </c>
      <c r="E19" s="44">
        <f>IS!E18/IS!E17</f>
        <v>0.29503105590062112</v>
      </c>
      <c r="F19" s="44">
        <f>IS!F18/IS!F17</f>
        <v>9.9667774086378738E-2</v>
      </c>
      <c r="G19" s="44">
        <f>IS!G18/IS!G17</f>
        <v>0.25</v>
      </c>
      <c r="H19" s="44">
        <f>IS!H18/IS!H17</f>
        <v>7.421875E-2</v>
      </c>
      <c r="I19" s="118">
        <f>SUM(IS!E18:H18)/SUM(IS!E17:H17)</f>
        <v>0.1839581517000872</v>
      </c>
      <c r="J19" s="44">
        <f>IS!J18/IS!J17</f>
        <v>0.35968379446640314</v>
      </c>
      <c r="K19" s="44">
        <f>IS!K18/IS!K17</f>
        <v>0.2967479674796748</v>
      </c>
      <c r="L19" s="44">
        <f>IS!L18/IS!L17</f>
        <v>0.24812030075187969</v>
      </c>
      <c r="M19" s="44">
        <f>IS!M18/IS!M17</f>
        <v>0.50854700854700852</v>
      </c>
      <c r="N19" s="118">
        <f>SUM(IS!J18:M18)/SUM(IS!J17:M17)</f>
        <v>0.37956204379562042</v>
      </c>
      <c r="O19" s="355">
        <v>0.21</v>
      </c>
      <c r="P19" s="355">
        <v>0.21</v>
      </c>
      <c r="Q19" s="355">
        <v>0.21</v>
      </c>
      <c r="R19" s="355">
        <v>0.21</v>
      </c>
      <c r="S19" s="355"/>
      <c r="T19" s="355">
        <v>0.21</v>
      </c>
      <c r="U19" s="355">
        <v>0.21</v>
      </c>
      <c r="V19" s="355">
        <v>0.21</v>
      </c>
      <c r="W19" s="355">
        <v>0.21</v>
      </c>
      <c r="X19" s="355"/>
      <c r="Y19" s="110"/>
    </row>
    <row r="20" spans="1:25" ht="15">
      <c r="A20" s="1"/>
      <c r="I20" s="117"/>
      <c r="N20" s="117"/>
      <c r="O20" s="357"/>
      <c r="P20" s="357"/>
      <c r="Q20" s="357"/>
      <c r="R20" s="357"/>
      <c r="S20" s="357"/>
      <c r="T20" s="357"/>
      <c r="U20" s="357"/>
      <c r="V20" s="357"/>
      <c r="W20" s="357"/>
      <c r="X20" s="357"/>
      <c r="Y20" s="110"/>
    </row>
    <row r="21" spans="1:25" ht="15">
      <c r="A21" s="1"/>
      <c r="D21" s="75" t="s">
        <v>10</v>
      </c>
      <c r="E21" s="75">
        <v>-10</v>
      </c>
      <c r="F21" s="75">
        <v>-13</v>
      </c>
      <c r="G21" s="75">
        <v>-15</v>
      </c>
      <c r="H21" s="75">
        <v>-11</v>
      </c>
      <c r="I21" s="117"/>
      <c r="J21" s="75">
        <v>-9</v>
      </c>
      <c r="K21" s="75">
        <v>-9</v>
      </c>
      <c r="L21" s="75">
        <v>-7</v>
      </c>
      <c r="M21" s="75">
        <v>-7</v>
      </c>
      <c r="N21" s="117"/>
      <c r="O21" s="137">
        <v>-7</v>
      </c>
      <c r="P21" s="137">
        <v>-7</v>
      </c>
      <c r="Q21" s="137">
        <v>-7</v>
      </c>
      <c r="R21" s="137">
        <v>-7</v>
      </c>
      <c r="S21" s="137"/>
      <c r="T21" s="137">
        <v>-7</v>
      </c>
      <c r="U21" s="137">
        <v>-7</v>
      </c>
      <c r="V21" s="137">
        <v>-7</v>
      </c>
      <c r="W21" s="137">
        <v>-7</v>
      </c>
      <c r="X21" s="137"/>
      <c r="Y21" s="110"/>
    </row>
    <row r="22" spans="1:25" ht="15">
      <c r="A22" s="1"/>
      <c r="I22" s="117"/>
      <c r="N22" s="117"/>
      <c r="O22" s="357"/>
      <c r="P22" s="357"/>
      <c r="Q22" s="357"/>
      <c r="R22" s="357"/>
      <c r="S22" s="357"/>
      <c r="T22" s="357"/>
      <c r="U22" s="357"/>
      <c r="V22" s="357"/>
      <c r="W22" s="357"/>
      <c r="X22" s="357"/>
      <c r="Y22" s="110"/>
    </row>
    <row r="23" spans="1:25" ht="15">
      <c r="A23" s="1"/>
      <c r="D23" s="75" t="s">
        <v>17</v>
      </c>
      <c r="E23" s="45">
        <f>IS!E21/IS!E20</f>
        <v>5.0632911392405063E-2</v>
      </c>
      <c r="F23" s="45">
        <f>IS!F21/IS!F20</f>
        <v>4.2253521126760563E-2</v>
      </c>
      <c r="G23" s="45">
        <f>IS!G21/IS!G20</f>
        <v>5.5555555555555552E-2</v>
      </c>
      <c r="H23" s="45">
        <f>IS!H21/IS!H20</f>
        <v>7.2580645161290328E-2</v>
      </c>
      <c r="I23" s="117"/>
      <c r="J23" s="45">
        <f>IS!J21/IS!J20</f>
        <v>6.4327485380116955E-2</v>
      </c>
      <c r="K23" s="45">
        <f>IS!K21/IS!K20</f>
        <v>5.4945054945054944E-2</v>
      </c>
      <c r="L23" s="45">
        <f>IS!L21/IS!L20</f>
        <v>6.280193236714976E-2</v>
      </c>
      <c r="M23" s="45">
        <f>IS!M21/IS!M20</f>
        <v>7.1729957805907171E-2</v>
      </c>
      <c r="N23" s="117"/>
      <c r="O23" s="358">
        <f>AVERAGE(E23,J23)</f>
        <v>5.7480198386261006E-2</v>
      </c>
      <c r="P23" s="358">
        <f>AVERAGE(K23,F23)</f>
        <v>4.8599288035907753E-2</v>
      </c>
      <c r="Q23" s="358">
        <f>AVERAGE(L23,G23)</f>
        <v>5.9178743961352656E-2</v>
      </c>
      <c r="R23" s="358">
        <f>AVERAGE(H23,M23)</f>
        <v>7.2155301483598749E-2</v>
      </c>
      <c r="S23" s="358"/>
      <c r="T23" s="358">
        <f>AVERAGE(O23,J23)</f>
        <v>6.0903841883188981E-2</v>
      </c>
      <c r="U23" s="358">
        <f>AVERAGE(P23,K23)</f>
        <v>5.1772171490481349E-2</v>
      </c>
      <c r="V23" s="358">
        <f>AVERAGE(Q23,L23)</f>
        <v>6.0990338164251208E-2</v>
      </c>
      <c r="W23" s="358">
        <f>AVERAGE(R23,M23)</f>
        <v>7.1942629644752953E-2</v>
      </c>
      <c r="X23" s="358"/>
      <c r="Y23" s="110"/>
    </row>
    <row r="24" spans="1:25" ht="15">
      <c r="A24" s="1"/>
      <c r="I24" s="117"/>
      <c r="N24" s="117"/>
      <c r="O24" s="357"/>
      <c r="P24" s="357"/>
      <c r="Q24" s="357"/>
      <c r="R24" s="357"/>
      <c r="S24" s="357"/>
      <c r="T24" s="357"/>
      <c r="U24" s="357"/>
      <c r="V24" s="357"/>
      <c r="W24" s="357"/>
      <c r="X24" s="357"/>
      <c r="Y24" s="110"/>
    </row>
    <row r="25" spans="1:25" ht="19.5">
      <c r="A25" s="1"/>
      <c r="C25" s="105" t="s">
        <v>179</v>
      </c>
      <c r="I25" s="117"/>
      <c r="N25" s="117"/>
      <c r="O25" s="357"/>
      <c r="P25" s="357"/>
      <c r="Q25" s="357"/>
      <c r="R25" s="357"/>
      <c r="S25" s="357"/>
      <c r="T25" s="357"/>
      <c r="U25" s="357"/>
      <c r="V25" s="357"/>
      <c r="W25" s="357"/>
      <c r="X25" s="357"/>
      <c r="Y25" s="110"/>
    </row>
    <row r="26" spans="1:25" ht="15">
      <c r="A26" s="1"/>
      <c r="I26" s="117"/>
      <c r="N26" s="117"/>
      <c r="O26" s="357"/>
      <c r="P26" s="357"/>
      <c r="Q26" s="357"/>
      <c r="R26" s="357"/>
      <c r="S26" s="357"/>
      <c r="T26" s="357"/>
      <c r="U26" s="357"/>
      <c r="V26" s="357"/>
      <c r="W26" s="357"/>
      <c r="X26" s="357"/>
      <c r="Y26" s="110"/>
    </row>
    <row r="27" spans="1:25" ht="15">
      <c r="A27" s="1"/>
      <c r="D27" s="7" t="s">
        <v>139</v>
      </c>
      <c r="I27" s="117"/>
      <c r="N27" s="117"/>
      <c r="O27" s="357"/>
      <c r="P27" s="357"/>
      <c r="Q27" s="357"/>
      <c r="R27" s="357"/>
      <c r="S27" s="357"/>
      <c r="T27" s="357"/>
      <c r="U27" s="357"/>
      <c r="V27" s="357"/>
      <c r="W27" s="357"/>
      <c r="X27" s="357"/>
      <c r="Y27" s="110"/>
    </row>
    <row r="28" spans="1:25" ht="15">
      <c r="A28" s="1"/>
      <c r="D28" t="s">
        <v>194</v>
      </c>
      <c r="I28" s="118">
        <f>'BALANCE SHEET'!E10/IS!I6</f>
        <v>0.18879392212725546</v>
      </c>
      <c r="N28" s="118">
        <f>'BALANCE SHEET'!F10/IS!N6</f>
        <v>0.18892604248623132</v>
      </c>
      <c r="O28" s="357"/>
      <c r="P28" s="357"/>
      <c r="Q28" s="357"/>
      <c r="R28" s="357"/>
      <c r="S28" s="355">
        <f>N28</f>
        <v>0.18892604248623132</v>
      </c>
      <c r="T28" s="357"/>
      <c r="U28" s="357"/>
      <c r="V28" s="357"/>
      <c r="W28" s="357"/>
      <c r="X28" s="355">
        <f>S28</f>
        <v>0.18892604248623132</v>
      </c>
      <c r="Y28" s="110"/>
    </row>
    <row r="29" spans="1:25" ht="15">
      <c r="A29" s="1"/>
      <c r="I29" s="117"/>
      <c r="N29" s="117"/>
      <c r="O29" s="357"/>
      <c r="P29" s="357"/>
      <c r="Q29" s="357"/>
      <c r="R29" s="357"/>
      <c r="S29" s="357"/>
      <c r="T29" s="357"/>
      <c r="U29" s="357"/>
      <c r="V29" s="357"/>
      <c r="W29" s="357"/>
      <c r="X29" s="357"/>
      <c r="Y29" s="110"/>
    </row>
    <row r="30" spans="1:25" ht="15">
      <c r="A30" s="1"/>
      <c r="D30" t="s">
        <v>195</v>
      </c>
      <c r="I30" s="118">
        <f>'BALANCE SHEET'!E11/IS!I7</f>
        <v>9.4096385542168676E-2</v>
      </c>
      <c r="J30" s="44"/>
      <c r="K30" s="44"/>
      <c r="L30" s="44"/>
      <c r="M30" s="44"/>
      <c r="N30" s="118">
        <f>'BALANCE SHEET'!F11/IS!N7</f>
        <v>0.10003718854592786</v>
      </c>
      <c r="O30" s="357"/>
      <c r="P30" s="357"/>
      <c r="Q30" s="357"/>
      <c r="R30" s="357"/>
      <c r="S30" s="355">
        <f>AVERAGE(I30,N30)</f>
        <v>9.7066787044048267E-2</v>
      </c>
      <c r="T30" s="357"/>
      <c r="U30" s="357"/>
      <c r="V30" s="357"/>
      <c r="W30" s="357"/>
      <c r="X30" s="355">
        <f>AVERAGE(N30,S30)</f>
        <v>9.8551987794988055E-2</v>
      </c>
      <c r="Y30" s="110"/>
    </row>
    <row r="31" spans="1:25" ht="15">
      <c r="A31" s="1"/>
      <c r="I31" s="117"/>
      <c r="N31" s="117"/>
      <c r="O31" s="357"/>
      <c r="P31" s="357"/>
      <c r="Q31" s="357"/>
      <c r="R31" s="357"/>
      <c r="S31" s="357"/>
      <c r="T31" s="357"/>
      <c r="U31" s="357"/>
      <c r="V31" s="357"/>
      <c r="W31" s="357"/>
      <c r="X31" s="357"/>
      <c r="Y31" s="110"/>
    </row>
    <row r="32" spans="1:25" ht="15">
      <c r="A32" s="1"/>
      <c r="D32" t="s">
        <v>47</v>
      </c>
      <c r="I32" s="117">
        <v>250</v>
      </c>
      <c r="N32" s="117">
        <v>276</v>
      </c>
      <c r="O32" s="357"/>
      <c r="P32" s="357"/>
      <c r="Q32" s="357"/>
      <c r="R32" s="357"/>
      <c r="S32" s="357">
        <f>AVERAGE(I32,N32)</f>
        <v>263</v>
      </c>
      <c r="T32" s="357"/>
      <c r="U32" s="357"/>
      <c r="V32" s="357"/>
      <c r="W32" s="357"/>
      <c r="X32" s="357">
        <f>AVERAGE(N32,S32)</f>
        <v>269.5</v>
      </c>
      <c r="Y32" s="110"/>
    </row>
    <row r="33" spans="1:25" ht="15">
      <c r="A33" s="1"/>
      <c r="I33" s="117"/>
      <c r="N33" s="117"/>
      <c r="O33" s="357"/>
      <c r="P33" s="357"/>
      <c r="Q33" s="357"/>
      <c r="R33" s="357"/>
      <c r="S33" s="357"/>
      <c r="T33" s="357"/>
      <c r="U33" s="357"/>
      <c r="V33" s="357"/>
      <c r="W33" s="357"/>
      <c r="X33" s="357"/>
      <c r="Y33" s="110"/>
    </row>
    <row r="34" spans="1:25" ht="15">
      <c r="A34" s="1"/>
      <c r="D34" s="46" t="s">
        <v>141</v>
      </c>
      <c r="I34" s="117"/>
      <c r="N34" s="117"/>
      <c r="O34" s="357"/>
      <c r="P34" s="357"/>
      <c r="Q34" s="357"/>
      <c r="R34" s="357"/>
      <c r="S34" s="357"/>
      <c r="T34" s="357"/>
      <c r="U34" s="357"/>
      <c r="V34" s="357"/>
      <c r="W34" s="357"/>
      <c r="X34" s="357"/>
      <c r="Y34" s="110"/>
    </row>
    <row r="35" spans="1:25" ht="15">
      <c r="A35" s="1"/>
      <c r="D35" t="s">
        <v>84</v>
      </c>
      <c r="I35">
        <v>2904</v>
      </c>
      <c r="N35">
        <v>2925</v>
      </c>
      <c r="O35" s="357"/>
      <c r="P35" s="357"/>
      <c r="Q35" s="357"/>
      <c r="R35" s="357"/>
      <c r="S35" s="357"/>
      <c r="T35" s="357"/>
      <c r="U35" s="357"/>
      <c r="V35" s="357"/>
      <c r="W35" s="357"/>
      <c r="X35" s="357"/>
      <c r="Y35" s="110"/>
    </row>
    <row r="36" spans="1:25" ht="15">
      <c r="A36" s="1"/>
      <c r="O36" s="357"/>
      <c r="P36" s="357"/>
      <c r="Q36" s="357"/>
      <c r="R36" s="357"/>
      <c r="S36" s="357"/>
      <c r="T36" s="357"/>
      <c r="U36" s="357"/>
      <c r="V36" s="357"/>
      <c r="W36" s="357"/>
      <c r="X36" s="357"/>
      <c r="Y36" s="110"/>
    </row>
    <row r="37" spans="1:25" ht="15">
      <c r="A37" s="1"/>
      <c r="D37" t="s">
        <v>85</v>
      </c>
      <c r="I37">
        <v>592</v>
      </c>
      <c r="N37">
        <v>318</v>
      </c>
      <c r="O37" s="357"/>
      <c r="P37" s="357"/>
      <c r="Q37" s="357"/>
      <c r="R37" s="357"/>
      <c r="S37" s="357">
        <f>AVERAGE(I37,N37)</f>
        <v>455</v>
      </c>
      <c r="T37" s="357"/>
      <c r="U37" s="357"/>
      <c r="V37" s="357"/>
      <c r="W37" s="357"/>
      <c r="X37" s="360">
        <f>AVERAGE(N37,S37)</f>
        <v>386.5</v>
      </c>
      <c r="Y37" s="110"/>
    </row>
    <row r="38" spans="1:25" ht="15">
      <c r="A38" s="1"/>
      <c r="O38" s="357"/>
      <c r="P38" s="357"/>
      <c r="Q38" s="357"/>
      <c r="R38" s="357"/>
      <c r="S38" s="357"/>
      <c r="T38" s="357"/>
      <c r="U38" s="357"/>
      <c r="V38" s="357"/>
      <c r="W38" s="357"/>
      <c r="X38" s="357"/>
      <c r="Y38" s="110"/>
    </row>
    <row r="39" spans="1:25" ht="15">
      <c r="A39" s="1"/>
      <c r="D39" t="s">
        <v>86</v>
      </c>
      <c r="I39">
        <v>1853</v>
      </c>
      <c r="N39">
        <v>1842</v>
      </c>
      <c r="O39" s="137"/>
      <c r="P39" s="137"/>
      <c r="Q39" s="137"/>
      <c r="R39" s="137"/>
      <c r="S39" s="137">
        <f>N39</f>
        <v>1842</v>
      </c>
      <c r="T39" s="137"/>
      <c r="U39" s="137"/>
      <c r="V39" s="137"/>
      <c r="W39" s="137"/>
      <c r="X39" s="137">
        <f>S39</f>
        <v>1842</v>
      </c>
      <c r="Y39" s="1"/>
    </row>
    <row r="40" spans="1:25" ht="15">
      <c r="A40" s="1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"/>
    </row>
    <row r="41" spans="1:25" ht="15">
      <c r="A41" s="1"/>
      <c r="D41" t="s">
        <v>87</v>
      </c>
      <c r="I41">
        <v>439</v>
      </c>
      <c r="N41">
        <v>402</v>
      </c>
      <c r="O41" s="137"/>
      <c r="P41" s="137"/>
      <c r="Q41" s="137"/>
      <c r="R41" s="137"/>
      <c r="S41" s="137">
        <f>N41</f>
        <v>402</v>
      </c>
      <c r="T41" s="137"/>
      <c r="U41" s="137"/>
      <c r="V41" s="137"/>
      <c r="W41" s="137"/>
      <c r="X41" s="137">
        <f>S41</f>
        <v>402</v>
      </c>
      <c r="Y41" s="1"/>
    </row>
    <row r="42" spans="1:25" ht="15">
      <c r="A42" s="1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"/>
    </row>
    <row r="43" spans="1:25" ht="15">
      <c r="A43" s="1"/>
      <c r="D43" t="s">
        <v>88</v>
      </c>
      <c r="I43">
        <v>502</v>
      </c>
      <c r="N43">
        <v>379</v>
      </c>
      <c r="O43" s="137"/>
      <c r="P43" s="137"/>
      <c r="Q43" s="137"/>
      <c r="R43" s="137"/>
      <c r="S43" s="137">
        <f>N43</f>
        <v>379</v>
      </c>
      <c r="T43" s="137"/>
      <c r="U43" s="137"/>
      <c r="V43" s="137"/>
      <c r="W43" s="137"/>
      <c r="X43" s="137">
        <f>S43</f>
        <v>379</v>
      </c>
      <c r="Y43" s="1"/>
    </row>
    <row r="44" spans="1:25" ht="15">
      <c r="A44" s="1"/>
      <c r="I44" s="117"/>
      <c r="N44" s="11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"/>
    </row>
    <row r="45" spans="1:25" ht="15">
      <c r="A45" s="1"/>
      <c r="D45" s="7" t="s">
        <v>144</v>
      </c>
      <c r="I45" s="117"/>
      <c r="N45" s="11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"/>
    </row>
    <row r="46" spans="1:25" ht="15">
      <c r="A46" s="1"/>
      <c r="D46" t="s">
        <v>91</v>
      </c>
      <c r="I46" s="117">
        <v>173</v>
      </c>
      <c r="N46" s="117">
        <v>286</v>
      </c>
      <c r="O46" s="137"/>
      <c r="P46" s="137"/>
      <c r="Q46" s="137"/>
      <c r="R46" s="137"/>
      <c r="S46" s="360">
        <f>AVERAGE(I46,N46)</f>
        <v>229.5</v>
      </c>
      <c r="T46" s="137"/>
      <c r="U46" s="137"/>
      <c r="V46" s="137"/>
      <c r="W46" s="137"/>
      <c r="X46" s="360">
        <f>AVERAGE(N46,S46)</f>
        <v>257.75</v>
      </c>
      <c r="Y46" s="1"/>
    </row>
    <row r="47" spans="1:25" ht="15">
      <c r="A47" s="1"/>
      <c r="I47" s="117"/>
      <c r="N47" s="11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"/>
    </row>
    <row r="48" spans="1:25" ht="15">
      <c r="A48" s="1"/>
      <c r="D48" t="s">
        <v>200</v>
      </c>
      <c r="I48" s="118">
        <f>'BALANCE SHEET'!E27/'INCOME STATEMENT'!I6</f>
        <v>0.20360873694207027</v>
      </c>
      <c r="N48" s="118">
        <f>'BALANCE SHEET'!F27/'INCOME STATEMENT'!N6</f>
        <v>0.19443351691581431</v>
      </c>
      <c r="O48" s="137"/>
      <c r="P48" s="137"/>
      <c r="Q48" s="137"/>
      <c r="R48" s="137"/>
      <c r="S48" s="361">
        <f>AVERAGE(I48,N48)</f>
        <v>0.1990211269289423</v>
      </c>
      <c r="T48" s="137"/>
      <c r="U48" s="137"/>
      <c r="V48" s="137"/>
      <c r="W48" s="137"/>
      <c r="X48" s="361">
        <f>AVERAGE(N48,S48)</f>
        <v>0.1967273219223783</v>
      </c>
      <c r="Y48" s="1"/>
    </row>
    <row r="49" spans="1:25" ht="15">
      <c r="A49" s="1"/>
      <c r="I49" s="117"/>
      <c r="N49" s="11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"/>
    </row>
    <row r="50" spans="1:25" ht="15">
      <c r="A50" s="1"/>
      <c r="D50" t="s">
        <v>92</v>
      </c>
      <c r="I50" s="117">
        <v>59</v>
      </c>
      <c r="N50" s="117">
        <v>66</v>
      </c>
      <c r="O50" s="137"/>
      <c r="P50" s="137"/>
      <c r="Q50" s="137"/>
      <c r="R50" s="137"/>
      <c r="S50" s="360">
        <f>AVERAGE(I50,N50)</f>
        <v>62.5</v>
      </c>
      <c r="T50" s="137"/>
      <c r="U50" s="137"/>
      <c r="V50" s="137"/>
      <c r="W50" s="137"/>
      <c r="X50" s="360">
        <f>AVERAGE(N50,S50)</f>
        <v>64.25</v>
      </c>
      <c r="Y50" s="1"/>
    </row>
    <row r="51" spans="1:25" ht="15">
      <c r="A51" s="1"/>
      <c r="I51" s="117"/>
      <c r="N51" s="11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"/>
    </row>
    <row r="52" spans="1:25" ht="15">
      <c r="A52" s="1"/>
      <c r="D52" s="58" t="s">
        <v>96</v>
      </c>
      <c r="I52" s="117"/>
      <c r="N52" s="11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"/>
    </row>
    <row r="53" spans="1:25" ht="15">
      <c r="A53" s="1"/>
      <c r="D53" t="s">
        <v>98</v>
      </c>
      <c r="I53" s="117">
        <v>298</v>
      </c>
      <c r="N53" s="117">
        <v>306</v>
      </c>
      <c r="O53" s="137"/>
      <c r="P53" s="137"/>
      <c r="Q53" s="137"/>
      <c r="R53" s="137"/>
      <c r="S53" s="360">
        <f>N53*1.03</f>
        <v>315.18</v>
      </c>
      <c r="T53" s="137"/>
      <c r="U53" s="137"/>
      <c r="V53" s="137"/>
      <c r="W53" s="137"/>
      <c r="X53" s="360">
        <f>S53*1.03</f>
        <v>324.6354</v>
      </c>
      <c r="Y53" s="1"/>
    </row>
    <row r="54" spans="1:25" ht="15">
      <c r="A54" s="1"/>
      <c r="D54"/>
      <c r="I54" s="117"/>
      <c r="N54" s="11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"/>
    </row>
    <row r="55" spans="1:25" ht="15">
      <c r="A55" s="1"/>
      <c r="D55" t="s">
        <v>99</v>
      </c>
      <c r="I55" s="117">
        <v>357</v>
      </c>
      <c r="N55" s="117">
        <v>549</v>
      </c>
      <c r="O55" s="137"/>
      <c r="P55" s="137"/>
      <c r="Q55" s="137"/>
      <c r="R55" s="137"/>
      <c r="S55" s="360">
        <f>AVERAGE(I55,N55)</f>
        <v>453</v>
      </c>
      <c r="T55" s="137"/>
      <c r="U55" s="137"/>
      <c r="V55" s="137"/>
      <c r="W55" s="137"/>
      <c r="X55" s="360">
        <f>AVERAGE(N55,S55)</f>
        <v>501</v>
      </c>
      <c r="Y55" s="1"/>
    </row>
    <row r="56" spans="1:25" ht="15">
      <c r="A56" s="1"/>
      <c r="I56" s="117"/>
      <c r="N56" s="11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"/>
    </row>
    <row r="57" spans="1:25" ht="15">
      <c r="A57" s="1"/>
      <c r="I57" s="117"/>
      <c r="N57" s="11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"/>
    </row>
    <row r="58" spans="1:25" ht="15">
      <c r="A58" s="1"/>
      <c r="I58" s="117"/>
      <c r="N58" s="11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"/>
    </row>
    <row r="59" spans="1:25" ht="15">
      <c r="A59" s="1"/>
      <c r="I59" s="117"/>
      <c r="N59" s="11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"/>
    </row>
    <row r="60" spans="1:25" ht="15">
      <c r="A60" s="1"/>
      <c r="I60" s="117"/>
      <c r="N60" s="11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"/>
    </row>
    <row r="61" spans="1:25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" hidden="1">
      <c r="A62" s="1"/>
      <c r="I62" s="117"/>
      <c r="N62" s="11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"/>
    </row>
    <row r="63" spans="1:25" ht="15" hidden="1">
      <c r="A63" s="1"/>
      <c r="I63" s="117"/>
      <c r="N63" s="11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"/>
    </row>
    <row r="64" spans="1:25" ht="15" hidden="1">
      <c r="A64" s="1"/>
      <c r="I64" s="117"/>
      <c r="N64" s="11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"/>
    </row>
    <row r="65" spans="1:25" ht="15" hidden="1">
      <c r="A65" s="1"/>
      <c r="I65" s="117"/>
      <c r="N65" s="11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"/>
    </row>
    <row r="66" spans="1:25" ht="15" hidden="1">
      <c r="A66" s="1"/>
      <c r="I66" s="117"/>
      <c r="N66" s="11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"/>
    </row>
    <row r="67" spans="1:25" ht="15" hidden="1">
      <c r="A67" s="1"/>
      <c r="I67" s="117"/>
      <c r="N67" s="11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"/>
    </row>
    <row r="68" spans="1:25" ht="15" hidden="1">
      <c r="A68" s="1"/>
      <c r="I68" s="117"/>
      <c r="N68" s="11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"/>
    </row>
    <row r="69" spans="1:25" ht="15" hidden="1">
      <c r="A69" s="1"/>
      <c r="I69" s="117"/>
      <c r="N69" s="11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"/>
    </row>
    <row r="70" spans="1:25" ht="15" hidden="1">
      <c r="A70" s="1"/>
      <c r="I70" s="117"/>
      <c r="N70" s="11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"/>
    </row>
    <row r="71" spans="1:25" ht="15" hidden="1">
      <c r="A71" s="1"/>
      <c r="I71" s="117"/>
      <c r="N71" s="11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"/>
    </row>
    <row r="72" spans="1:25" ht="15" hidden="1">
      <c r="A72" s="1"/>
      <c r="I72" s="117"/>
      <c r="N72" s="11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"/>
    </row>
    <row r="73" spans="1:25" ht="15" hidden="1">
      <c r="A73" s="1"/>
      <c r="I73" s="117"/>
      <c r="N73" s="11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"/>
    </row>
    <row r="74" spans="1:25" ht="15" hidden="1">
      <c r="A74" s="1"/>
      <c r="I74" s="117"/>
      <c r="N74" s="11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"/>
    </row>
    <row r="75" spans="1:25" ht="15" hidden="1">
      <c r="A75" s="1"/>
      <c r="I75" s="117"/>
      <c r="N75" s="11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"/>
    </row>
    <row r="76" spans="1:25" ht="15" hidden="1">
      <c r="A76" s="1"/>
      <c r="I76" s="117"/>
      <c r="N76" s="11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"/>
    </row>
    <row r="77" spans="1:25" ht="15" hidden="1">
      <c r="A77" s="1"/>
      <c r="I77" s="117"/>
      <c r="N77" s="11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"/>
    </row>
    <row r="78" spans="1:25" ht="15" hidden="1">
      <c r="A78" s="1"/>
      <c r="I78" s="117"/>
      <c r="N78" s="11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"/>
    </row>
    <row r="79" spans="1:25" ht="15" hidden="1">
      <c r="A79" s="1"/>
      <c r="I79" s="117"/>
      <c r="N79" s="11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"/>
    </row>
    <row r="80" spans="1:25" ht="15" hidden="1">
      <c r="A80" s="1"/>
      <c r="I80" s="117"/>
      <c r="N80" s="11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"/>
    </row>
    <row r="81" spans="1:25" ht="15" hidden="1">
      <c r="A81" s="1"/>
      <c r="I81" s="117"/>
      <c r="N81" s="11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"/>
    </row>
    <row r="82" spans="1:25" ht="15" hidden="1">
      <c r="A82" s="1"/>
      <c r="I82" s="117"/>
      <c r="N82" s="11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"/>
    </row>
    <row r="83" spans="1:25" ht="15" hidden="1">
      <c r="A83" s="1"/>
      <c r="I83" s="117"/>
      <c r="N83" s="11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"/>
    </row>
    <row r="84" spans="1:25" ht="15" hidden="1">
      <c r="A84" s="1"/>
      <c r="I84" s="117"/>
      <c r="N84" s="11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"/>
    </row>
    <row r="85" spans="1:25" ht="15" hidden="1">
      <c r="A85" s="1"/>
      <c r="I85" s="117"/>
      <c r="N85" s="11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"/>
    </row>
    <row r="86" spans="1:25" ht="15" hidden="1">
      <c r="A86" s="1"/>
      <c r="I86" s="117"/>
      <c r="N86" s="11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"/>
    </row>
    <row r="87" spans="1:25" ht="15" hidden="1">
      <c r="A87" s="1"/>
      <c r="I87" s="117"/>
      <c r="N87" s="11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"/>
    </row>
    <row r="88" spans="1:25" ht="15" hidden="1">
      <c r="A88" s="1"/>
      <c r="I88" s="117"/>
      <c r="N88" s="11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"/>
    </row>
    <row r="89" spans="1:25" ht="15" hidden="1">
      <c r="A89" s="1"/>
      <c r="I89" s="117"/>
      <c r="N89" s="11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"/>
    </row>
    <row r="90" spans="1:25" ht="15" hidden="1">
      <c r="A90" s="1"/>
      <c r="I90" s="117"/>
      <c r="N90" s="11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"/>
    </row>
    <row r="91" spans="1:25" ht="15" hidden="1">
      <c r="A91" s="1"/>
      <c r="I91" s="117"/>
      <c r="N91" s="11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"/>
    </row>
    <row r="92" spans="1:25" ht="15" hidden="1">
      <c r="A92" s="1"/>
      <c r="I92" s="117"/>
      <c r="N92" s="11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"/>
    </row>
    <row r="93" spans="1:25" ht="15" hidden="1">
      <c r="A93" s="1"/>
      <c r="I93" s="117"/>
      <c r="N93" s="11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"/>
    </row>
    <row r="94" spans="1:25" ht="15" hidden="1">
      <c r="A94" s="1"/>
      <c r="I94" s="117"/>
      <c r="N94" s="11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"/>
    </row>
    <row r="95" spans="1:25" ht="15" hidden="1">
      <c r="A95" s="1"/>
      <c r="I95" s="117"/>
      <c r="N95" s="11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"/>
    </row>
    <row r="96" spans="1:25" ht="15" hidden="1">
      <c r="A96" s="1"/>
      <c r="I96" s="117"/>
      <c r="N96" s="11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"/>
    </row>
    <row r="97" spans="1:25" ht="15" hidden="1">
      <c r="A97" s="1"/>
      <c r="I97" s="117"/>
      <c r="N97" s="11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"/>
    </row>
    <row r="98" spans="1:25" ht="15" hidden="1">
      <c r="A98" s="1"/>
      <c r="I98" s="117"/>
      <c r="N98" s="11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"/>
    </row>
    <row r="99" spans="1:25" ht="15" hidden="1">
      <c r="A99" s="1"/>
      <c r="I99" s="117"/>
      <c r="N99" s="11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"/>
    </row>
    <row r="100" spans="1:25" ht="15" hidden="1">
      <c r="A100" s="1"/>
      <c r="I100" s="117"/>
      <c r="N100" s="11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"/>
    </row>
    <row r="101" spans="1:25" ht="15" hidden="1">
      <c r="A101" s="1"/>
      <c r="I101" s="117"/>
      <c r="N101" s="11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"/>
    </row>
    <row r="102" spans="1:25" ht="15" hidden="1">
      <c r="A102" s="1"/>
      <c r="I102" s="117"/>
      <c r="N102" s="11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"/>
    </row>
    <row r="103" spans="1:25" ht="15" hidden="1">
      <c r="A103" s="1"/>
      <c r="I103" s="117"/>
      <c r="N103" s="11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"/>
    </row>
    <row r="104" spans="1:25" ht="15" hidden="1">
      <c r="A104" s="1"/>
      <c r="I104" s="117"/>
      <c r="N104" s="11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"/>
    </row>
    <row r="105" spans="1:25" ht="15" hidden="1">
      <c r="A105" s="1"/>
      <c r="I105" s="117"/>
      <c r="N105" s="11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"/>
    </row>
    <row r="106" spans="1:25" ht="15" hidden="1">
      <c r="A106" s="1"/>
      <c r="I106" s="117"/>
      <c r="N106" s="11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"/>
    </row>
    <row r="107" spans="1:25" ht="15" hidden="1">
      <c r="A107" s="1"/>
      <c r="I107" s="117"/>
      <c r="N107" s="11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"/>
    </row>
    <row r="108" spans="1:25" ht="15" hidden="1">
      <c r="A108" s="1"/>
      <c r="I108" s="117"/>
      <c r="N108" s="11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"/>
    </row>
    <row r="109" spans="1:25" ht="15" hidden="1">
      <c r="A109" s="1"/>
      <c r="I109" s="117"/>
      <c r="N109" s="11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"/>
    </row>
    <row r="110" spans="1:25" ht="15" hidden="1">
      <c r="A110" s="1"/>
      <c r="I110" s="117"/>
      <c r="N110" s="117"/>
      <c r="O110" s="137"/>
      <c r="P110" s="137"/>
      <c r="Q110" s="137"/>
      <c r="R110" s="137"/>
      <c r="S110" s="137"/>
      <c r="T110" s="137"/>
      <c r="U110" s="137"/>
      <c r="V110" s="137"/>
      <c r="W110" s="137"/>
      <c r="X110" s="137"/>
      <c r="Y110" s="1"/>
    </row>
    <row r="111" spans="1:25" ht="15" hidden="1">
      <c r="A111" s="1"/>
      <c r="I111" s="117"/>
      <c r="N111" s="11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"/>
    </row>
    <row r="112" spans="1:25" ht="15" hidden="1">
      <c r="A112" s="1"/>
      <c r="I112" s="117"/>
      <c r="N112" s="11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"/>
    </row>
    <row r="113" spans="1:25" ht="15" hidden="1">
      <c r="A113" s="1"/>
      <c r="I113" s="117"/>
      <c r="N113" s="11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"/>
    </row>
    <row r="114" spans="1:25" ht="15" hidden="1">
      <c r="A114" s="1"/>
      <c r="I114" s="117"/>
      <c r="N114" s="11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"/>
    </row>
    <row r="115" spans="1:25" ht="15" hidden="1">
      <c r="A115" s="1"/>
      <c r="I115" s="117"/>
      <c r="N115" s="11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"/>
    </row>
    <row r="116" spans="1:25" ht="15" hidden="1">
      <c r="A116" s="1"/>
      <c r="I116" s="117"/>
      <c r="N116" s="11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"/>
    </row>
    <row r="117" spans="1:25" ht="15" hidden="1">
      <c r="A117" s="1"/>
      <c r="I117" s="117"/>
      <c r="N117" s="11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"/>
    </row>
    <row r="118" spans="1:25" ht="15" hidden="1">
      <c r="A118" s="1"/>
      <c r="I118" s="117"/>
      <c r="N118" s="11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"/>
    </row>
    <row r="119" spans="1:25" ht="15" hidden="1">
      <c r="A119" s="1"/>
      <c r="I119" s="117"/>
      <c r="N119" s="11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"/>
    </row>
    <row r="120" spans="1:25" ht="15" hidden="1">
      <c r="A120" s="1"/>
      <c r="I120" s="117"/>
      <c r="N120" s="11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"/>
    </row>
    <row r="121" spans="1:25" ht="15" hidden="1">
      <c r="A121" s="1"/>
      <c r="I121" s="117"/>
      <c r="N121" s="11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"/>
    </row>
    <row r="122" spans="1:25" ht="15" hidden="1">
      <c r="A122" s="1"/>
      <c r="I122" s="117"/>
      <c r="N122" s="11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"/>
    </row>
    <row r="123" spans="1:25" ht="15" hidden="1">
      <c r="A123" s="1"/>
      <c r="I123" s="117"/>
      <c r="N123" s="11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"/>
    </row>
    <row r="124" spans="1:25" ht="15" hidden="1">
      <c r="A124" s="1"/>
      <c r="I124" s="117"/>
      <c r="N124" s="11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"/>
    </row>
    <row r="125" spans="1:25" ht="15" hidden="1">
      <c r="A125" s="1"/>
      <c r="I125" s="117"/>
      <c r="N125" s="11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"/>
    </row>
    <row r="126" spans="1:25" ht="15" hidden="1">
      <c r="A126" s="1"/>
      <c r="I126" s="117"/>
      <c r="N126" s="11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"/>
    </row>
    <row r="127" spans="1:25" ht="15" hidden="1">
      <c r="A127" s="1"/>
      <c r="I127" s="117"/>
      <c r="N127" s="11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"/>
    </row>
    <row r="128" spans="1:25" ht="15" hidden="1">
      <c r="A128" s="1"/>
      <c r="I128" s="117"/>
      <c r="N128" s="11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"/>
    </row>
    <row r="129" spans="1:25" ht="15" hidden="1">
      <c r="A129" s="1"/>
      <c r="I129" s="117"/>
      <c r="N129" s="11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"/>
    </row>
    <row r="130" spans="1:25" ht="15" hidden="1">
      <c r="A130" s="1"/>
      <c r="I130" s="117"/>
      <c r="N130" s="11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"/>
    </row>
    <row r="131" spans="1:25" ht="15" hidden="1">
      <c r="A131" s="1"/>
      <c r="I131" s="117"/>
      <c r="N131" s="11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"/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D125"/>
  <sheetViews>
    <sheetView showGridLines="0" topLeftCell="A21" workbookViewId="0">
      <selection activeCell="B33" sqref="B33"/>
    </sheetView>
  </sheetViews>
  <sheetFormatPr defaultColWidth="0" defaultRowHeight="0" customHeight="1" zeroHeight="1"/>
  <cols>
    <col min="1" max="1" width="3.7109375" style="75" customWidth="1"/>
    <col min="2" max="3" width="2.7109375" style="75" customWidth="1"/>
    <col min="4" max="4" width="38.7109375" style="75" customWidth="1"/>
    <col min="5" max="24" width="7.7109375" style="75" customWidth="1"/>
    <col min="25" max="25" width="3.7109375" style="75" customWidth="1"/>
    <col min="26" max="108" width="0" style="75" hidden="1" customWidth="1"/>
    <col min="109" max="16384" width="9.140625" style="75" hidden="1"/>
  </cols>
  <sheetData>
    <row r="1" spans="1:25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3.25">
      <c r="A2" s="1"/>
      <c r="B2" s="131" t="str">
        <f>Company_Name</f>
        <v>BorgWarner Inc. (BWA)</v>
      </c>
      <c r="C2" s="2"/>
      <c r="D2" s="2"/>
      <c r="E2" s="328" t="s">
        <v>3</v>
      </c>
      <c r="F2" s="328"/>
      <c r="G2" s="328"/>
      <c r="H2" s="328"/>
      <c r="I2" s="328"/>
      <c r="J2" s="328"/>
      <c r="K2" s="328"/>
      <c r="L2" s="328"/>
      <c r="M2" s="328"/>
      <c r="N2" s="126"/>
      <c r="O2" s="2"/>
      <c r="P2" s="2"/>
      <c r="Q2" s="2"/>
      <c r="R2" s="2"/>
      <c r="S2" s="2"/>
      <c r="T2" s="2"/>
      <c r="U2" s="2"/>
      <c r="V2" s="2"/>
      <c r="W2" s="2"/>
      <c r="X2" s="2"/>
      <c r="Y2" s="1"/>
    </row>
    <row r="3" spans="1:25" ht="15.75">
      <c r="A3" s="1"/>
      <c r="B3" s="351" t="s">
        <v>231</v>
      </c>
      <c r="C3" s="2"/>
      <c r="D3" s="2"/>
      <c r="E3" s="130" t="s">
        <v>201</v>
      </c>
      <c r="F3" s="130" t="s">
        <v>202</v>
      </c>
      <c r="G3" s="130" t="s">
        <v>203</v>
      </c>
      <c r="H3" s="130" t="s">
        <v>204</v>
      </c>
      <c r="I3" s="130"/>
      <c r="J3" s="130" t="s">
        <v>205</v>
      </c>
      <c r="K3" s="130" t="s">
        <v>206</v>
      </c>
      <c r="L3" s="130" t="s">
        <v>207</v>
      </c>
      <c r="M3" s="130" t="s">
        <v>208</v>
      </c>
      <c r="N3" s="130"/>
      <c r="O3" s="126" t="s">
        <v>209</v>
      </c>
      <c r="P3" s="126" t="s">
        <v>210</v>
      </c>
      <c r="Q3" s="126" t="s">
        <v>211</v>
      </c>
      <c r="R3" s="126" t="s">
        <v>212</v>
      </c>
      <c r="S3" s="126"/>
      <c r="T3" s="126" t="s">
        <v>213</v>
      </c>
      <c r="U3" s="126" t="s">
        <v>214</v>
      </c>
      <c r="V3" s="126" t="s">
        <v>215</v>
      </c>
      <c r="W3" s="126" t="s">
        <v>216</v>
      </c>
      <c r="X3" s="126"/>
      <c r="Y3" s="1"/>
    </row>
    <row r="4" spans="1:25" ht="15">
      <c r="A4" s="1"/>
      <c r="B4" s="134" t="str">
        <f>Currency</f>
        <v>(expressed in millions)</v>
      </c>
      <c r="C4" s="2"/>
      <c r="D4" s="2"/>
      <c r="E4" s="178">
        <f t="shared" ref="E4:L4" si="0">EDATE(F4,-3)</f>
        <v>43160</v>
      </c>
      <c r="F4" s="178">
        <f t="shared" si="0"/>
        <v>43252</v>
      </c>
      <c r="G4" s="178">
        <f t="shared" si="0"/>
        <v>43344</v>
      </c>
      <c r="H4" s="178">
        <f>EDATE(J4,-3)</f>
        <v>43435</v>
      </c>
      <c r="I4" s="177" t="s">
        <v>219</v>
      </c>
      <c r="J4" s="178">
        <f t="shared" si="0"/>
        <v>43525</v>
      </c>
      <c r="K4" s="178">
        <f t="shared" si="0"/>
        <v>43617</v>
      </c>
      <c r="L4" s="178">
        <f t="shared" si="0"/>
        <v>43709</v>
      </c>
      <c r="M4" s="178">
        <f>LHY</f>
        <v>43800</v>
      </c>
      <c r="N4" s="177" t="s">
        <v>220</v>
      </c>
      <c r="O4" s="179">
        <f>EDATE(M4,3)</f>
        <v>43891</v>
      </c>
      <c r="P4" s="179">
        <f t="shared" ref="P4:W4" si="1">EDATE(O4,3)</f>
        <v>43983</v>
      </c>
      <c r="Q4" s="179">
        <f t="shared" si="1"/>
        <v>44075</v>
      </c>
      <c r="R4" s="179">
        <f t="shared" si="1"/>
        <v>44166</v>
      </c>
      <c r="S4" s="177" t="s">
        <v>221</v>
      </c>
      <c r="T4" s="179">
        <f>EDATE(R4,3)</f>
        <v>44256</v>
      </c>
      <c r="U4" s="179">
        <f t="shared" si="1"/>
        <v>44348</v>
      </c>
      <c r="V4" s="179">
        <f t="shared" si="1"/>
        <v>44440</v>
      </c>
      <c r="W4" s="179">
        <f t="shared" si="1"/>
        <v>44531</v>
      </c>
      <c r="X4" s="177" t="s">
        <v>222</v>
      </c>
      <c r="Y4" s="1"/>
    </row>
    <row r="5" spans="1:25" ht="15.75">
      <c r="A5" s="1"/>
      <c r="D5" s="41"/>
      <c r="E5" s="22"/>
      <c r="F5" s="22"/>
      <c r="G5" s="22"/>
      <c r="H5" s="124"/>
      <c r="I5" s="200"/>
      <c r="J5" s="124"/>
      <c r="K5" s="43"/>
      <c r="L5" s="124"/>
      <c r="M5" s="124"/>
      <c r="N5" s="200"/>
      <c r="O5" s="129"/>
      <c r="P5" s="127"/>
      <c r="Q5" s="127"/>
      <c r="R5" s="127"/>
      <c r="S5" s="207"/>
      <c r="T5" s="127"/>
      <c r="U5" s="127"/>
      <c r="V5" s="127"/>
      <c r="W5" s="127"/>
      <c r="X5" s="207"/>
      <c r="Y5" s="1"/>
    </row>
    <row r="6" spans="1:25" ht="15">
      <c r="A6" s="1"/>
      <c r="C6" s="136"/>
      <c r="D6" s="138" t="s">
        <v>7</v>
      </c>
      <c r="E6" s="139">
        <v>2784</v>
      </c>
      <c r="F6" s="140">
        <v>2694</v>
      </c>
      <c r="G6" s="140">
        <v>2478</v>
      </c>
      <c r="H6" s="141">
        <v>2574</v>
      </c>
      <c r="I6" s="201">
        <f>SUM(E6:H6)</f>
        <v>10530</v>
      </c>
      <c r="J6" s="139">
        <v>2566</v>
      </c>
      <c r="K6" s="140">
        <v>2551</v>
      </c>
      <c r="L6" s="140">
        <v>2492</v>
      </c>
      <c r="M6" s="141">
        <v>2559</v>
      </c>
      <c r="N6" s="201">
        <f>SUM(J6:M6)</f>
        <v>10168</v>
      </c>
      <c r="O6" s="142">
        <f>'REVENUE DRIVERS'!O16</f>
        <v>2415.8399999999997</v>
      </c>
      <c r="P6" s="143">
        <f>'REVENUE DRIVERS'!P16</f>
        <v>2549.09</v>
      </c>
      <c r="Q6" s="143">
        <f>'REVENUE DRIVERS'!Q16</f>
        <v>2452.08</v>
      </c>
      <c r="R6" s="144">
        <f>'REVENUE DRIVERS'!R16</f>
        <v>2598.8900000000003</v>
      </c>
      <c r="S6" s="201">
        <f>'REVENUE DRIVERS'!S16</f>
        <v>10015.900000000001</v>
      </c>
      <c r="T6" s="142">
        <f>'REVENUE DRIVERS'!T16</f>
        <v>2391.6815999999999</v>
      </c>
      <c r="U6" s="143">
        <f>'REVENUE DRIVERS'!U16</f>
        <v>2523.5990999999999</v>
      </c>
      <c r="V6" s="143">
        <f>'REVENUE DRIVERS'!V16</f>
        <v>2501.1216000000004</v>
      </c>
      <c r="W6" s="143">
        <f>'REVENUE DRIVERS'!W16</f>
        <v>2650.8678</v>
      </c>
      <c r="X6" s="212">
        <f>'REVENUE DRIVERS'!X16</f>
        <v>10067.2701</v>
      </c>
      <c r="Y6" s="135"/>
    </row>
    <row r="7" spans="1:25" ht="15">
      <c r="A7" s="1"/>
      <c r="D7" s="138" t="s">
        <v>4</v>
      </c>
      <c r="E7" s="139">
        <v>2193</v>
      </c>
      <c r="F7" s="140">
        <v>2114</v>
      </c>
      <c r="G7" s="140">
        <v>1963</v>
      </c>
      <c r="H7" s="141">
        <v>2030</v>
      </c>
      <c r="I7" s="201">
        <f>SUM(E7:H7)</f>
        <v>8300</v>
      </c>
      <c r="J7" s="139">
        <v>2047</v>
      </c>
      <c r="K7" s="140">
        <v>2038</v>
      </c>
      <c r="L7" s="140">
        <v>1968</v>
      </c>
      <c r="M7" s="141">
        <v>2014</v>
      </c>
      <c r="N7" s="201">
        <f>SUM(J7:M7)</f>
        <v>8067</v>
      </c>
      <c r="O7" s="142">
        <f>O6*Asumptions!O8</f>
        <v>1909.8204786334363</v>
      </c>
      <c r="P7" s="143">
        <f>P6*Asumptions!P8</f>
        <v>2015.9603189892828</v>
      </c>
      <c r="Q7" s="143">
        <f>Q6*Asumptions!Q8</f>
        <v>1940.914567668141</v>
      </c>
      <c r="R7" s="144">
        <f>R6*Asumptions!R8</f>
        <v>2056.9374545109376</v>
      </c>
      <c r="S7" s="201">
        <f>SUM(O7:R7)</f>
        <v>7923.6328198017973</v>
      </c>
      <c r="T7" s="142">
        <f>T6*Asumptions!T8</f>
        <v>1894.7490437164101</v>
      </c>
      <c r="U7" s="143">
        <f>U6*Asumptions!U8</f>
        <v>1997.5176117276962</v>
      </c>
      <c r="V7" s="143">
        <f>V6*Asumptions!V8</f>
        <v>1977.4226098713932</v>
      </c>
      <c r="W7" s="143">
        <f>W6*Asumptions!W8</f>
        <v>2096.1080898762743</v>
      </c>
      <c r="X7" s="212">
        <f>SUM(T7:W7)</f>
        <v>7965.7973551917748</v>
      </c>
      <c r="Y7" s="135"/>
    </row>
    <row r="8" spans="1:25" ht="15">
      <c r="A8" s="1"/>
      <c r="D8" s="146" t="s">
        <v>5</v>
      </c>
      <c r="E8" s="147">
        <v>591</v>
      </c>
      <c r="F8" s="148">
        <v>580</v>
      </c>
      <c r="G8" s="148">
        <v>515</v>
      </c>
      <c r="H8" s="149">
        <v>544</v>
      </c>
      <c r="I8" s="209">
        <f t="shared" ref="I8:I22" si="2">SUM(E8:H8)</f>
        <v>2230</v>
      </c>
      <c r="J8" s="147">
        <v>519</v>
      </c>
      <c r="K8" s="148">
        <v>513</v>
      </c>
      <c r="L8" s="148">
        <v>524</v>
      </c>
      <c r="M8" s="149">
        <v>545</v>
      </c>
      <c r="N8" s="209">
        <f t="shared" ref="N8:N25" si="3">SUM(J8:M8)</f>
        <v>2101</v>
      </c>
      <c r="O8" s="150">
        <f t="shared" ref="O8:V8" si="4">O6-O7</f>
        <v>506.01952136656337</v>
      </c>
      <c r="P8" s="151">
        <f t="shared" si="4"/>
        <v>533.12968101071738</v>
      </c>
      <c r="Q8" s="151">
        <f t="shared" si="4"/>
        <v>511.16543233185894</v>
      </c>
      <c r="R8" s="152">
        <f t="shared" si="4"/>
        <v>541.95254548906269</v>
      </c>
      <c r="S8" s="209">
        <f>S6-S7</f>
        <v>2092.2671801982042</v>
      </c>
      <c r="T8" s="150">
        <f t="shared" si="4"/>
        <v>496.93255628358975</v>
      </c>
      <c r="U8" s="151">
        <f t="shared" si="4"/>
        <v>526.08148827230366</v>
      </c>
      <c r="V8" s="151">
        <f t="shared" si="4"/>
        <v>523.69899012860719</v>
      </c>
      <c r="W8" s="151">
        <f t="shared" ref="W8" si="5">W6-W7</f>
        <v>554.75971012372565</v>
      </c>
      <c r="X8" s="213">
        <f>X6-X7</f>
        <v>2101.4727448082249</v>
      </c>
      <c r="Y8" s="135"/>
    </row>
    <row r="9" spans="1:25" ht="15">
      <c r="A9" s="1"/>
      <c r="D9" s="153"/>
      <c r="E9" s="154"/>
      <c r="F9" s="155"/>
      <c r="G9" s="155"/>
      <c r="H9" s="156"/>
      <c r="I9" s="208"/>
      <c r="J9" s="154"/>
      <c r="K9" s="155"/>
      <c r="L9" s="155"/>
      <c r="M9" s="156"/>
      <c r="N9" s="208"/>
      <c r="O9" s="157"/>
      <c r="P9" s="158"/>
      <c r="Q9" s="158"/>
      <c r="R9" s="159"/>
      <c r="S9" s="208"/>
      <c r="T9" s="157"/>
      <c r="U9" s="158"/>
      <c r="V9" s="158"/>
      <c r="W9" s="158"/>
      <c r="X9" s="214"/>
      <c r="Y9" s="135"/>
    </row>
    <row r="10" spans="1:25" ht="15">
      <c r="A10" s="1"/>
      <c r="D10" s="138" t="s">
        <v>8</v>
      </c>
      <c r="E10" s="139">
        <v>253</v>
      </c>
      <c r="F10" s="140">
        <v>237</v>
      </c>
      <c r="G10" s="140">
        <v>230</v>
      </c>
      <c r="H10" s="141">
        <v>226</v>
      </c>
      <c r="I10" s="201">
        <f t="shared" si="2"/>
        <v>946</v>
      </c>
      <c r="J10" s="139">
        <v>226</v>
      </c>
      <c r="K10" s="140">
        <v>212</v>
      </c>
      <c r="L10" s="140">
        <v>230</v>
      </c>
      <c r="M10" s="141">
        <v>205</v>
      </c>
      <c r="N10" s="201">
        <f t="shared" si="3"/>
        <v>873</v>
      </c>
      <c r="O10" s="142">
        <f>O6*Asumptions!O10</f>
        <v>217.42559999999997</v>
      </c>
      <c r="P10" s="143">
        <f>P6*Asumptions!P10</f>
        <v>229.41810000000001</v>
      </c>
      <c r="Q10" s="143">
        <f>Q6*Asumptions!Q10</f>
        <v>220.68719999999999</v>
      </c>
      <c r="R10" s="144">
        <f>R6*Asumptions!R10</f>
        <v>233.90010000000001</v>
      </c>
      <c r="S10" s="201">
        <f t="shared" ref="S10" si="6">SUM(O10:R10)</f>
        <v>901.43100000000004</v>
      </c>
      <c r="T10" s="142">
        <f>T6*Asumptions!T10</f>
        <v>215.25134399999999</v>
      </c>
      <c r="U10" s="143">
        <f>U6*Asumptions!U10</f>
        <v>227.12391899999997</v>
      </c>
      <c r="V10" s="143">
        <f>V6*Asumptions!V10</f>
        <v>225.10094400000003</v>
      </c>
      <c r="W10" s="143">
        <f>W6*Asumptions!W10</f>
        <v>238.578102</v>
      </c>
      <c r="X10" s="212">
        <f t="shared" ref="X10" si="7">SUM(T10:W10)</f>
        <v>906.05430899999988</v>
      </c>
      <c r="Y10" s="135"/>
    </row>
    <row r="11" spans="1:25" ht="15">
      <c r="A11" s="1"/>
      <c r="D11" s="146" t="s">
        <v>20</v>
      </c>
      <c r="E11" s="147">
        <v>338</v>
      </c>
      <c r="F11" s="148">
        <v>343</v>
      </c>
      <c r="G11" s="148">
        <v>285</v>
      </c>
      <c r="H11" s="149">
        <v>318</v>
      </c>
      <c r="I11" s="209">
        <f t="shared" si="2"/>
        <v>1284</v>
      </c>
      <c r="J11" s="147">
        <v>293</v>
      </c>
      <c r="K11" s="148">
        <v>301</v>
      </c>
      <c r="L11" s="148">
        <v>294</v>
      </c>
      <c r="M11" s="149">
        <v>340</v>
      </c>
      <c r="N11" s="209">
        <f t="shared" si="3"/>
        <v>1228</v>
      </c>
      <c r="O11" s="150">
        <f t="shared" ref="O11:S11" si="8">O8-O10</f>
        <v>288.59392136656339</v>
      </c>
      <c r="P11" s="151">
        <f t="shared" si="8"/>
        <v>303.7115810107174</v>
      </c>
      <c r="Q11" s="151">
        <f t="shared" si="8"/>
        <v>290.47823233185898</v>
      </c>
      <c r="R11" s="152">
        <f t="shared" si="8"/>
        <v>308.05244548906268</v>
      </c>
      <c r="S11" s="209">
        <f t="shared" si="8"/>
        <v>1190.8361801982041</v>
      </c>
      <c r="T11" s="150">
        <f t="shared" ref="T11:V11" si="9">T8-T10</f>
        <v>281.68121228358973</v>
      </c>
      <c r="U11" s="151">
        <f t="shared" si="9"/>
        <v>298.95756927230366</v>
      </c>
      <c r="V11" s="151">
        <f t="shared" si="9"/>
        <v>298.59804612860717</v>
      </c>
      <c r="W11" s="151">
        <f t="shared" ref="W11" si="10">W8-W10</f>
        <v>316.18160812372565</v>
      </c>
      <c r="X11" s="213">
        <f t="shared" ref="X11" si="11">X8-X10</f>
        <v>1195.418435808225</v>
      </c>
      <c r="Y11" s="135"/>
    </row>
    <row r="12" spans="1:25" ht="15">
      <c r="A12" s="1"/>
      <c r="D12" s="153"/>
      <c r="E12" s="154"/>
      <c r="F12" s="155"/>
      <c r="G12" s="155"/>
      <c r="H12" s="156"/>
      <c r="I12" s="208"/>
      <c r="J12" s="154"/>
      <c r="K12" s="155"/>
      <c r="L12" s="155"/>
      <c r="M12" s="156"/>
      <c r="N12" s="208"/>
      <c r="O12" s="157"/>
      <c r="P12" s="158"/>
      <c r="Q12" s="158"/>
      <c r="R12" s="159"/>
      <c r="S12" s="208"/>
      <c r="T12" s="157"/>
      <c r="U12" s="158"/>
      <c r="V12" s="158"/>
      <c r="W12" s="158"/>
      <c r="X12" s="214"/>
      <c r="Y12" s="135"/>
    </row>
    <row r="13" spans="1:25" ht="15">
      <c r="A13" s="1"/>
      <c r="D13" s="138" t="s">
        <v>11</v>
      </c>
      <c r="E13" s="139">
        <v>-2</v>
      </c>
      <c r="F13" s="140">
        <v>-1</v>
      </c>
      <c r="G13" s="140">
        <v>-1</v>
      </c>
      <c r="H13" s="141">
        <v>-2</v>
      </c>
      <c r="I13" s="201">
        <f t="shared" si="2"/>
        <v>-6</v>
      </c>
      <c r="J13" s="139">
        <v>-3</v>
      </c>
      <c r="K13" s="140">
        <v>-2</v>
      </c>
      <c r="L13" s="140">
        <v>-4</v>
      </c>
      <c r="M13" s="141">
        <v>-3</v>
      </c>
      <c r="N13" s="201">
        <f t="shared" si="3"/>
        <v>-12</v>
      </c>
      <c r="O13" s="142"/>
      <c r="P13" s="143"/>
      <c r="Q13" s="143"/>
      <c r="R13" s="144"/>
      <c r="S13" s="201"/>
      <c r="T13" s="142"/>
      <c r="U13" s="143"/>
      <c r="V13" s="143"/>
      <c r="W13" s="143"/>
      <c r="X13" s="212"/>
      <c r="Y13" s="135"/>
    </row>
    <row r="14" spans="1:25" ht="15">
      <c r="A14" s="1"/>
      <c r="D14" s="138" t="s">
        <v>12</v>
      </c>
      <c r="E14" s="139">
        <v>16</v>
      </c>
      <c r="F14" s="140">
        <v>15</v>
      </c>
      <c r="G14" s="140">
        <v>14</v>
      </c>
      <c r="H14" s="141">
        <v>14</v>
      </c>
      <c r="I14" s="201">
        <f t="shared" si="2"/>
        <v>59</v>
      </c>
      <c r="J14" s="139">
        <v>14</v>
      </c>
      <c r="K14" s="140">
        <v>14</v>
      </c>
      <c r="L14" s="140">
        <v>15</v>
      </c>
      <c r="M14" s="141">
        <v>12</v>
      </c>
      <c r="N14" s="201">
        <f t="shared" si="3"/>
        <v>55</v>
      </c>
      <c r="O14" s="142">
        <f>$S$14/4</f>
        <v>17.0844375</v>
      </c>
      <c r="P14" s="143">
        <f t="shared" ref="P14:R14" si="12">$S$14/4</f>
        <v>17.0844375</v>
      </c>
      <c r="Q14" s="143">
        <f t="shared" si="12"/>
        <v>17.0844375</v>
      </c>
      <c r="R14" s="144">
        <f t="shared" si="12"/>
        <v>17.0844375</v>
      </c>
      <c r="S14" s="201">
        <f>DRS!H79</f>
        <v>68.33775</v>
      </c>
      <c r="T14" s="142">
        <f>$X$14/4</f>
        <v>0</v>
      </c>
      <c r="U14" s="143">
        <f t="shared" ref="U14:W14" si="13">$X$14/4</f>
        <v>0</v>
      </c>
      <c r="V14" s="143">
        <f t="shared" si="13"/>
        <v>0</v>
      </c>
      <c r="W14" s="143">
        <f t="shared" si="13"/>
        <v>0</v>
      </c>
      <c r="X14" s="212">
        <f>DRS!M79</f>
        <v>0</v>
      </c>
      <c r="Y14" s="135"/>
    </row>
    <row r="15" spans="1:25" ht="15">
      <c r="A15" s="1"/>
      <c r="D15" s="138" t="s">
        <v>9</v>
      </c>
      <c r="E15" s="139">
        <v>5</v>
      </c>
      <c r="F15" s="140">
        <v>30</v>
      </c>
      <c r="G15" s="140">
        <v>7</v>
      </c>
      <c r="H15" s="141">
        <v>52</v>
      </c>
      <c r="I15" s="201">
        <f t="shared" si="2"/>
        <v>94</v>
      </c>
      <c r="J15" s="139">
        <v>29</v>
      </c>
      <c r="K15" s="140">
        <v>16</v>
      </c>
      <c r="L15" s="140">
        <v>18</v>
      </c>
      <c r="M15" s="141">
        <v>-138</v>
      </c>
      <c r="N15" s="201">
        <f t="shared" si="3"/>
        <v>-75</v>
      </c>
      <c r="O15" s="142">
        <f>Asumptions!O15</f>
        <v>17</v>
      </c>
      <c r="P15" s="143">
        <f>Asumptions!P15</f>
        <v>23</v>
      </c>
      <c r="Q15" s="143">
        <f>Asumptions!Q15</f>
        <v>12.5</v>
      </c>
      <c r="R15" s="144">
        <f>Asumptions!R15</f>
        <v>17.5</v>
      </c>
      <c r="S15" s="201">
        <f t="shared" ref="S15:S16" si="14">SUM(O15:R15)</f>
        <v>70</v>
      </c>
      <c r="T15" s="142">
        <f>Asumptions!T15</f>
        <v>23</v>
      </c>
      <c r="U15" s="143">
        <f>Asumptions!U15</f>
        <v>19.5</v>
      </c>
      <c r="V15" s="143">
        <f>Asumptions!V15</f>
        <v>15.25</v>
      </c>
      <c r="W15" s="143">
        <f>Asumptions!W15</f>
        <v>19.25</v>
      </c>
      <c r="X15" s="212">
        <f t="shared" ref="X15:X16" si="15">SUM(T15:W15)</f>
        <v>77</v>
      </c>
      <c r="Y15" s="135"/>
    </row>
    <row r="16" spans="1:25" ht="15">
      <c r="A16" s="1"/>
      <c r="D16" s="138" t="s">
        <v>13</v>
      </c>
      <c r="E16" s="139">
        <v>-3</v>
      </c>
      <c r="F16" s="140">
        <v>-2</v>
      </c>
      <c r="G16" s="140">
        <v>-3</v>
      </c>
      <c r="H16" s="141">
        <v>-2</v>
      </c>
      <c r="I16" s="201">
        <f t="shared" si="2"/>
        <v>-10</v>
      </c>
      <c r="J16" s="139" t="s">
        <v>14</v>
      </c>
      <c r="K16" s="140">
        <v>27</v>
      </c>
      <c r="L16" s="140">
        <v>-1</v>
      </c>
      <c r="M16" s="141">
        <v>1</v>
      </c>
      <c r="N16" s="201">
        <f t="shared" si="3"/>
        <v>27</v>
      </c>
      <c r="O16" s="142">
        <f>O6*Asumptions!O17</f>
        <v>2.3350636206059754</v>
      </c>
      <c r="P16" s="143">
        <f>P6*Asumptions!P17</f>
        <v>2.4638582541271306</v>
      </c>
      <c r="Q16" s="143">
        <f>Q6*Asumptions!Q17</f>
        <v>2.3700918946683145</v>
      </c>
      <c r="R16" s="144">
        <f>R6*Asumptions!R17</f>
        <v>2.5119931340472319</v>
      </c>
      <c r="S16" s="201">
        <f t="shared" si="14"/>
        <v>9.6810069034486528</v>
      </c>
      <c r="T16" s="142">
        <f>T6*Asumptions!T17</f>
        <v>2.3117129843999158</v>
      </c>
      <c r="U16" s="143">
        <f>U6*Asumptions!U17</f>
        <v>2.439219671585859</v>
      </c>
      <c r="V16" s="143">
        <f>V6*Asumptions!V17</f>
        <v>2.4174937325616814</v>
      </c>
      <c r="W16" s="143">
        <f>W6*Asumptions!W17</f>
        <v>2.5622329967281763</v>
      </c>
      <c r="X16" s="212">
        <f t="shared" si="15"/>
        <v>9.7306593852756329</v>
      </c>
      <c r="Y16" s="135"/>
    </row>
    <row r="17" spans="1:25" ht="15">
      <c r="A17" s="1"/>
      <c r="D17" s="146" t="s">
        <v>21</v>
      </c>
      <c r="E17" s="147">
        <v>16</v>
      </c>
      <c r="F17" s="148">
        <v>42</v>
      </c>
      <c r="G17" s="148">
        <v>17</v>
      </c>
      <c r="H17" s="149">
        <v>62</v>
      </c>
      <c r="I17" s="209">
        <f t="shared" si="2"/>
        <v>137</v>
      </c>
      <c r="J17" s="147">
        <v>40</v>
      </c>
      <c r="K17" s="148">
        <v>55</v>
      </c>
      <c r="L17" s="148">
        <v>28</v>
      </c>
      <c r="M17" s="149">
        <v>-128</v>
      </c>
      <c r="N17" s="209">
        <f t="shared" si="3"/>
        <v>-5</v>
      </c>
      <c r="O17" s="150">
        <f t="shared" ref="O17:V17" si="16">SUM(O13:O16)</f>
        <v>36.419501120605972</v>
      </c>
      <c r="P17" s="151">
        <f t="shared" si="16"/>
        <v>42.548295754127132</v>
      </c>
      <c r="Q17" s="151">
        <f t="shared" si="16"/>
        <v>31.954529394668313</v>
      </c>
      <c r="R17" s="152">
        <f t="shared" si="16"/>
        <v>37.096430634047231</v>
      </c>
      <c r="S17" s="209">
        <f t="shared" si="16"/>
        <v>148.01875690344866</v>
      </c>
      <c r="T17" s="150">
        <f t="shared" si="16"/>
        <v>25.311712984399914</v>
      </c>
      <c r="U17" s="151">
        <f t="shared" si="16"/>
        <v>21.93921967158586</v>
      </c>
      <c r="V17" s="151">
        <f t="shared" si="16"/>
        <v>17.667493732561681</v>
      </c>
      <c r="W17" s="151">
        <f t="shared" ref="W17" si="17">SUM(W13:W16)</f>
        <v>21.812232996728177</v>
      </c>
      <c r="X17" s="213">
        <f t="shared" ref="X17" si="18">SUM(X13:X16)</f>
        <v>86.730659385275629</v>
      </c>
      <c r="Y17" s="135"/>
    </row>
    <row r="18" spans="1:25" ht="15.75" thickBot="1">
      <c r="A18" s="1"/>
      <c r="D18" s="153"/>
      <c r="E18" s="154"/>
      <c r="F18" s="155"/>
      <c r="G18" s="155"/>
      <c r="H18" s="156"/>
      <c r="I18" s="208"/>
      <c r="J18" s="154"/>
      <c r="K18" s="155"/>
      <c r="L18" s="155"/>
      <c r="M18" s="156"/>
      <c r="N18" s="208"/>
      <c r="O18" s="157"/>
      <c r="P18" s="158"/>
      <c r="Q18" s="158"/>
      <c r="R18" s="159"/>
      <c r="S18" s="208"/>
      <c r="T18" s="157"/>
      <c r="U18" s="158"/>
      <c r="V18" s="158"/>
      <c r="W18" s="158"/>
      <c r="X18" s="214"/>
      <c r="Y18" s="135"/>
    </row>
    <row r="19" spans="1:25" ht="15">
      <c r="A19" s="1"/>
      <c r="D19" s="161" t="s">
        <v>22</v>
      </c>
      <c r="E19" s="162">
        <v>322</v>
      </c>
      <c r="F19" s="163">
        <v>301</v>
      </c>
      <c r="G19" s="163">
        <v>268</v>
      </c>
      <c r="H19" s="164">
        <v>256</v>
      </c>
      <c r="I19" s="210">
        <f t="shared" si="2"/>
        <v>1147</v>
      </c>
      <c r="J19" s="162">
        <v>253</v>
      </c>
      <c r="K19" s="163">
        <v>246</v>
      </c>
      <c r="L19" s="163">
        <v>266</v>
      </c>
      <c r="M19" s="164">
        <v>468</v>
      </c>
      <c r="N19" s="210">
        <f t="shared" si="3"/>
        <v>1233</v>
      </c>
      <c r="O19" s="165">
        <f t="shared" ref="O19:V19" si="19">O11-O17</f>
        <v>252.17442024595744</v>
      </c>
      <c r="P19" s="166">
        <f t="shared" si="19"/>
        <v>261.16328525659026</v>
      </c>
      <c r="Q19" s="166">
        <f t="shared" si="19"/>
        <v>258.52370293719065</v>
      </c>
      <c r="R19" s="167">
        <f t="shared" si="19"/>
        <v>270.95601485501544</v>
      </c>
      <c r="S19" s="210">
        <f t="shared" si="19"/>
        <v>1042.8174232947554</v>
      </c>
      <c r="T19" s="165">
        <f t="shared" si="19"/>
        <v>256.36949929918984</v>
      </c>
      <c r="U19" s="166">
        <f t="shared" si="19"/>
        <v>277.01834960071778</v>
      </c>
      <c r="V19" s="166">
        <f t="shared" si="19"/>
        <v>280.93055239604547</v>
      </c>
      <c r="W19" s="166">
        <f t="shared" ref="W19" si="20">W11-W17</f>
        <v>294.36937512699745</v>
      </c>
      <c r="X19" s="215">
        <f t="shared" ref="X19" si="21">X11-X17</f>
        <v>1108.6877764229494</v>
      </c>
      <c r="Y19" s="135"/>
    </row>
    <row r="20" spans="1:25" ht="15">
      <c r="A20" s="1"/>
      <c r="D20" s="138"/>
      <c r="E20" s="139"/>
      <c r="F20" s="140"/>
      <c r="G20" s="140"/>
      <c r="H20" s="141"/>
      <c r="I20" s="201"/>
      <c r="J20" s="139"/>
      <c r="K20" s="140"/>
      <c r="L20" s="140"/>
      <c r="M20" s="141"/>
      <c r="N20" s="201"/>
      <c r="O20" s="142"/>
      <c r="P20" s="143"/>
      <c r="Q20" s="143"/>
      <c r="R20" s="144"/>
      <c r="S20" s="201"/>
      <c r="T20" s="142"/>
      <c r="U20" s="143"/>
      <c r="V20" s="143"/>
      <c r="W20" s="143"/>
      <c r="X20" s="212"/>
      <c r="Y20" s="135"/>
    </row>
    <row r="21" spans="1:25" ht="15">
      <c r="A21" s="1"/>
      <c r="D21" s="138" t="s">
        <v>15</v>
      </c>
      <c r="E21" s="139">
        <v>95</v>
      </c>
      <c r="F21" s="140">
        <v>30</v>
      </c>
      <c r="G21" s="140">
        <v>67</v>
      </c>
      <c r="H21" s="141">
        <v>19</v>
      </c>
      <c r="I21" s="201">
        <f t="shared" si="2"/>
        <v>211</v>
      </c>
      <c r="J21" s="139">
        <v>91</v>
      </c>
      <c r="K21" s="140">
        <v>73</v>
      </c>
      <c r="L21" s="140">
        <v>66</v>
      </c>
      <c r="M21" s="141">
        <v>238</v>
      </c>
      <c r="N21" s="201">
        <f t="shared" si="3"/>
        <v>468</v>
      </c>
      <c r="O21" s="142">
        <f>O19*Asumptions!O19</f>
        <v>52.956628251651061</v>
      </c>
      <c r="P21" s="143">
        <f>P19*Asumptions!P19</f>
        <v>54.844289903883954</v>
      </c>
      <c r="Q21" s="143">
        <f>Q19*Asumptions!Q19</f>
        <v>54.289977616810035</v>
      </c>
      <c r="R21" s="144">
        <f>R19*Asumptions!R19</f>
        <v>56.90076311955324</v>
      </c>
      <c r="S21" s="201">
        <f t="shared" ref="S21:S22" si="22">SUM(O21:R21)</f>
        <v>218.99165889189828</v>
      </c>
      <c r="T21" s="142">
        <f>T19*Asumptions!T19</f>
        <v>53.837594852829866</v>
      </c>
      <c r="U21" s="143">
        <f>U19*Asumptions!U19</f>
        <v>58.173853416150735</v>
      </c>
      <c r="V21" s="143">
        <f>V19*Asumptions!V19</f>
        <v>58.995416003169545</v>
      </c>
      <c r="W21" s="143">
        <f>W19*Asumptions!W19</f>
        <v>61.817568776669461</v>
      </c>
      <c r="X21" s="212">
        <f t="shared" ref="X21:X22" si="23">SUM(T21:W21)</f>
        <v>232.82443304881963</v>
      </c>
      <c r="Y21" s="1"/>
    </row>
    <row r="22" spans="1:25" ht="15.75" thickBot="1">
      <c r="A22" s="1"/>
      <c r="D22" s="138" t="s">
        <v>10</v>
      </c>
      <c r="E22" s="139">
        <v>-10</v>
      </c>
      <c r="F22" s="140">
        <v>-13</v>
      </c>
      <c r="G22" s="140">
        <v>-15</v>
      </c>
      <c r="H22" s="141">
        <v>-11</v>
      </c>
      <c r="I22" s="201">
        <f t="shared" si="2"/>
        <v>-49</v>
      </c>
      <c r="J22" s="139">
        <v>-9</v>
      </c>
      <c r="K22" s="140">
        <v>-9</v>
      </c>
      <c r="L22" s="140">
        <v>-7</v>
      </c>
      <c r="M22" s="141">
        <v>-7</v>
      </c>
      <c r="N22" s="201">
        <f t="shared" si="3"/>
        <v>-32</v>
      </c>
      <c r="O22" s="142">
        <f>Asumptions!O21</f>
        <v>-7</v>
      </c>
      <c r="P22" s="143">
        <f>Asumptions!P21</f>
        <v>-7</v>
      </c>
      <c r="Q22" s="143">
        <f>Asumptions!Q21</f>
        <v>-7</v>
      </c>
      <c r="R22" s="144">
        <f>Asumptions!R21</f>
        <v>-7</v>
      </c>
      <c r="S22" s="201">
        <f t="shared" si="22"/>
        <v>-28</v>
      </c>
      <c r="T22" s="142">
        <f>Asumptions!T21</f>
        <v>-7</v>
      </c>
      <c r="U22" s="143">
        <f>Asumptions!U21</f>
        <v>-7</v>
      </c>
      <c r="V22" s="143">
        <f>Asumptions!V21</f>
        <v>-7</v>
      </c>
      <c r="W22" s="143">
        <f>Asumptions!W21</f>
        <v>-7</v>
      </c>
      <c r="X22" s="212">
        <f t="shared" si="23"/>
        <v>-28</v>
      </c>
      <c r="Y22" s="1"/>
    </row>
    <row r="23" spans="1:25" ht="15">
      <c r="A23" s="1"/>
      <c r="D23" s="161" t="s">
        <v>23</v>
      </c>
      <c r="E23" s="162">
        <v>237</v>
      </c>
      <c r="F23" s="163">
        <v>284</v>
      </c>
      <c r="G23" s="163">
        <v>216</v>
      </c>
      <c r="H23" s="164">
        <v>248</v>
      </c>
      <c r="I23" s="210">
        <f t="shared" ref="I23:I25" si="24">SUM(E23:H23)</f>
        <v>985</v>
      </c>
      <c r="J23" s="162">
        <v>171</v>
      </c>
      <c r="K23" s="163">
        <v>182</v>
      </c>
      <c r="L23" s="163">
        <v>207</v>
      </c>
      <c r="M23" s="164">
        <v>237</v>
      </c>
      <c r="N23" s="210">
        <f t="shared" si="3"/>
        <v>797</v>
      </c>
      <c r="O23" s="165">
        <f t="shared" ref="O23:V23" si="25">O19-O21-O22</f>
        <v>206.21779199430637</v>
      </c>
      <c r="P23" s="166">
        <f t="shared" si="25"/>
        <v>213.31899535270631</v>
      </c>
      <c r="Q23" s="166">
        <f t="shared" si="25"/>
        <v>211.23372532038061</v>
      </c>
      <c r="R23" s="167">
        <f t="shared" si="25"/>
        <v>221.05525173546221</v>
      </c>
      <c r="S23" s="210">
        <f t="shared" si="25"/>
        <v>851.82576440285709</v>
      </c>
      <c r="T23" s="165">
        <f t="shared" si="25"/>
        <v>209.53190444635999</v>
      </c>
      <c r="U23" s="166">
        <f t="shared" si="25"/>
        <v>225.84449618456705</v>
      </c>
      <c r="V23" s="166">
        <f t="shared" si="25"/>
        <v>228.93513639287593</v>
      </c>
      <c r="W23" s="166">
        <f t="shared" ref="W23" si="26">W19-W21-W22</f>
        <v>239.55180635032798</v>
      </c>
      <c r="X23" s="215">
        <f t="shared" ref="X23" si="27">X19-X21-X22</f>
        <v>903.86334337412973</v>
      </c>
      <c r="Y23" s="1"/>
    </row>
    <row r="24" spans="1:25" ht="15.75" thickBot="1">
      <c r="A24" s="1"/>
      <c r="D24" s="138" t="s">
        <v>17</v>
      </c>
      <c r="E24" s="139">
        <v>12</v>
      </c>
      <c r="F24" s="140">
        <v>12</v>
      </c>
      <c r="G24" s="140">
        <v>12</v>
      </c>
      <c r="H24" s="141">
        <v>18</v>
      </c>
      <c r="I24" s="201">
        <f t="shared" si="24"/>
        <v>54</v>
      </c>
      <c r="J24" s="139">
        <v>11</v>
      </c>
      <c r="K24" s="140">
        <v>10</v>
      </c>
      <c r="L24" s="140">
        <v>13</v>
      </c>
      <c r="M24" s="141">
        <v>17</v>
      </c>
      <c r="N24" s="201">
        <f t="shared" si="3"/>
        <v>51</v>
      </c>
      <c r="O24" s="142">
        <f>O23*Asumptions!O23</f>
        <v>11.853439594609437</v>
      </c>
      <c r="P24" s="143">
        <f>P23*Asumptions!P23</f>
        <v>10.367151298676641</v>
      </c>
      <c r="Q24" s="143">
        <f>Q23*Asumptions!Q23</f>
        <v>12.5005465467375</v>
      </c>
      <c r="R24" s="144">
        <f>R23*Asumptions!R23</f>
        <v>15.950308333505092</v>
      </c>
      <c r="S24" s="201">
        <f>SUM(O24:R24)</f>
        <v>50.671445773528674</v>
      </c>
      <c r="T24" s="142">
        <f>T23*Asumptions!T23</f>
        <v>12.761297977884571</v>
      </c>
      <c r="U24" s="143">
        <f>U23*Asumptions!U23</f>
        <v>11.692459986648766</v>
      </c>
      <c r="V24" s="143">
        <f>V23*Asumptions!V23</f>
        <v>13.962831386280477</v>
      </c>
      <c r="W24" s="143">
        <f>W23*Asumptions!W23</f>
        <v>17.233986884993225</v>
      </c>
      <c r="X24" s="212">
        <f>SUM(T24:W24)</f>
        <v>55.650576235807037</v>
      </c>
      <c r="Y24" s="1"/>
    </row>
    <row r="25" spans="1:25" ht="15.75" thickBot="1">
      <c r="A25" s="1"/>
      <c r="D25" s="168" t="s">
        <v>24</v>
      </c>
      <c r="E25" s="169">
        <v>225</v>
      </c>
      <c r="F25" s="170">
        <v>272</v>
      </c>
      <c r="G25" s="170">
        <v>204</v>
      </c>
      <c r="H25" s="171">
        <v>230</v>
      </c>
      <c r="I25" s="206">
        <f t="shared" si="24"/>
        <v>931</v>
      </c>
      <c r="J25" s="169">
        <v>160</v>
      </c>
      <c r="K25" s="170">
        <v>172</v>
      </c>
      <c r="L25" s="170">
        <v>194</v>
      </c>
      <c r="M25" s="171">
        <v>220</v>
      </c>
      <c r="N25" s="206">
        <f t="shared" si="3"/>
        <v>746</v>
      </c>
      <c r="O25" s="172">
        <f t="shared" ref="O25:V25" si="28">O23-O24</f>
        <v>194.36435239969694</v>
      </c>
      <c r="P25" s="173">
        <f t="shared" si="28"/>
        <v>202.95184405402966</v>
      </c>
      <c r="Q25" s="173">
        <f t="shared" si="28"/>
        <v>198.73317877364312</v>
      </c>
      <c r="R25" s="174">
        <f t="shared" si="28"/>
        <v>205.10494340195712</v>
      </c>
      <c r="S25" s="206">
        <f t="shared" si="28"/>
        <v>801.15431862932837</v>
      </c>
      <c r="T25" s="172">
        <f t="shared" si="28"/>
        <v>196.77060646847542</v>
      </c>
      <c r="U25" s="173">
        <f t="shared" si="28"/>
        <v>214.15203619791828</v>
      </c>
      <c r="V25" s="173">
        <f t="shared" si="28"/>
        <v>214.97230500659546</v>
      </c>
      <c r="W25" s="173">
        <f t="shared" ref="W25" si="29">W23-W24</f>
        <v>222.31781946533476</v>
      </c>
      <c r="X25" s="216">
        <f t="shared" ref="X25" si="30">X23-X24</f>
        <v>848.21276713832265</v>
      </c>
      <c r="Y25" s="1"/>
    </row>
    <row r="26" spans="1:25" ht="15">
      <c r="A26" s="1"/>
      <c r="D26" s="176"/>
      <c r="E26" s="140"/>
      <c r="F26" s="140"/>
      <c r="G26" s="140"/>
      <c r="H26" s="140"/>
      <c r="I26" s="201"/>
      <c r="J26" s="140"/>
      <c r="K26" s="140"/>
      <c r="L26" s="140"/>
      <c r="M26" s="140"/>
      <c r="N26" s="201"/>
      <c r="O26" s="143"/>
      <c r="P26" s="143"/>
      <c r="Q26" s="143"/>
      <c r="R26" s="143"/>
      <c r="S26" s="201"/>
      <c r="T26" s="143"/>
      <c r="U26" s="143"/>
      <c r="V26" s="143"/>
      <c r="W26" s="143"/>
      <c r="X26" s="201"/>
      <c r="Y26" s="1"/>
    </row>
    <row r="27" spans="1:25" ht="15">
      <c r="A27" s="1"/>
      <c r="D27" s="176"/>
      <c r="E27" s="140"/>
      <c r="F27" s="140"/>
      <c r="G27" s="140"/>
      <c r="H27" s="140"/>
      <c r="I27" s="201"/>
      <c r="J27" s="140"/>
      <c r="K27" s="140"/>
      <c r="L27" s="140"/>
      <c r="M27" s="140"/>
      <c r="N27" s="201"/>
      <c r="O27" s="143"/>
      <c r="P27" s="143"/>
      <c r="Q27" s="143"/>
      <c r="R27" s="143"/>
      <c r="S27" s="201"/>
      <c r="T27" s="143"/>
      <c r="U27" s="143"/>
      <c r="V27" s="143"/>
      <c r="W27" s="143"/>
      <c r="X27" s="201"/>
      <c r="Y27" s="1"/>
    </row>
    <row r="28" spans="1:25" ht="15">
      <c r="A28" s="1"/>
      <c r="D28" s="138" t="s">
        <v>18</v>
      </c>
      <c r="E28" s="138">
        <v>1.07</v>
      </c>
      <c r="F28" s="138">
        <v>1.3</v>
      </c>
      <c r="G28" s="138">
        <v>0.98</v>
      </c>
      <c r="H28" s="138">
        <v>1.1100000000000001</v>
      </c>
      <c r="I28" s="211">
        <f>SUM(E28:H28)</f>
        <v>4.46</v>
      </c>
      <c r="J28" s="138">
        <v>0.77</v>
      </c>
      <c r="K28" s="138">
        <v>0.84</v>
      </c>
      <c r="L28" s="138">
        <v>0.94</v>
      </c>
      <c r="M28" s="138">
        <v>1.07</v>
      </c>
      <c r="N28" s="211">
        <f>SUM(J28:M28)</f>
        <v>3.62</v>
      </c>
      <c r="O28" s="145"/>
      <c r="P28" s="145"/>
      <c r="Q28" s="145"/>
      <c r="R28" s="145"/>
      <c r="S28" s="211"/>
      <c r="T28" s="145"/>
      <c r="U28" s="145"/>
      <c r="V28" s="145"/>
      <c r="W28" s="145"/>
      <c r="X28" s="211"/>
      <c r="Y28" s="1"/>
    </row>
    <row r="29" spans="1:25" ht="15">
      <c r="A29" s="1"/>
      <c r="D29" s="138" t="s">
        <v>19</v>
      </c>
      <c r="E29" s="138">
        <v>1.07</v>
      </c>
      <c r="F29" s="138">
        <v>1.3</v>
      </c>
      <c r="G29" s="138">
        <v>0.98</v>
      </c>
      <c r="H29" s="138">
        <v>1.1000000000000001</v>
      </c>
      <c r="I29" s="211">
        <f>SUM(E29:H29)</f>
        <v>4.45</v>
      </c>
      <c r="J29" s="138">
        <v>0.77</v>
      </c>
      <c r="K29" s="138">
        <v>0.83</v>
      </c>
      <c r="L29" s="138">
        <v>0.94</v>
      </c>
      <c r="M29" s="138">
        <v>1.06</v>
      </c>
      <c r="N29" s="211">
        <f>SUM(J29:M29)</f>
        <v>3.6</v>
      </c>
      <c r="O29" s="145"/>
      <c r="P29" s="145"/>
      <c r="Q29" s="145"/>
      <c r="R29" s="145"/>
      <c r="S29" s="211"/>
      <c r="T29" s="145"/>
      <c r="U29" s="145"/>
      <c r="V29" s="145"/>
      <c r="W29" s="145"/>
      <c r="X29" s="211"/>
      <c r="Y29" s="1"/>
    </row>
    <row r="30" spans="1:25" ht="15">
      <c r="A30" s="1"/>
      <c r="D30" s="138"/>
      <c r="E30" s="138"/>
      <c r="F30" s="138"/>
      <c r="G30" s="138"/>
      <c r="H30" s="138"/>
      <c r="I30" s="211"/>
      <c r="J30" s="138"/>
      <c r="K30" s="138"/>
      <c r="L30" s="138"/>
      <c r="M30" s="138"/>
      <c r="N30" s="211"/>
      <c r="O30" s="145"/>
      <c r="P30" s="145"/>
      <c r="Q30" s="145"/>
      <c r="R30" s="145"/>
      <c r="S30" s="211"/>
      <c r="T30" s="145"/>
      <c r="U30" s="145"/>
      <c r="V30" s="145"/>
      <c r="W30" s="145"/>
      <c r="X30" s="211"/>
      <c r="Y30" s="1"/>
    </row>
    <row r="31" spans="1:25" ht="15">
      <c r="A31" s="1"/>
      <c r="D31" s="138" t="s">
        <v>223</v>
      </c>
      <c r="E31" s="138"/>
      <c r="F31" s="138"/>
      <c r="G31" s="138"/>
      <c r="H31" s="138"/>
      <c r="I31" s="211"/>
      <c r="J31" s="138"/>
      <c r="K31" s="138"/>
      <c r="L31" s="138"/>
      <c r="M31" s="138"/>
      <c r="N31" s="211"/>
      <c r="O31" s="145"/>
      <c r="P31" s="145"/>
      <c r="Q31" s="145"/>
      <c r="R31" s="145"/>
      <c r="S31" s="211"/>
      <c r="T31" s="145"/>
      <c r="U31" s="145"/>
      <c r="V31" s="145"/>
      <c r="W31" s="145"/>
      <c r="X31" s="211"/>
      <c r="Y31" s="1"/>
    </row>
    <row r="32" spans="1:25" ht="15">
      <c r="A32" s="1"/>
      <c r="D32" s="138" t="s">
        <v>224</v>
      </c>
      <c r="E32" s="138"/>
      <c r="F32" s="138"/>
      <c r="G32" s="138"/>
      <c r="H32" s="138"/>
      <c r="I32" s="211"/>
      <c r="J32" s="138"/>
      <c r="K32" s="138"/>
      <c r="L32" s="138"/>
      <c r="M32" s="138"/>
      <c r="N32" s="211"/>
      <c r="O32" s="145"/>
      <c r="P32" s="145"/>
      <c r="Q32" s="145"/>
      <c r="R32" s="145"/>
      <c r="S32" s="211"/>
      <c r="T32" s="145"/>
      <c r="U32" s="145"/>
      <c r="V32" s="145"/>
      <c r="W32" s="145"/>
      <c r="X32" s="211"/>
      <c r="Y32" s="1"/>
    </row>
    <row r="33" spans="1:25" ht="15">
      <c r="A33" s="1"/>
      <c r="D33" s="138"/>
      <c r="E33" s="138"/>
      <c r="F33" s="138"/>
      <c r="G33" s="138"/>
      <c r="H33" s="138"/>
      <c r="I33" s="211"/>
      <c r="J33" s="138"/>
      <c r="K33" s="138"/>
      <c r="L33" s="138"/>
      <c r="M33" s="138"/>
      <c r="N33" s="211"/>
      <c r="O33" s="145"/>
      <c r="P33" s="145"/>
      <c r="Q33" s="145"/>
      <c r="R33" s="145"/>
      <c r="S33" s="211"/>
      <c r="T33" s="145"/>
      <c r="U33" s="145"/>
      <c r="V33" s="145"/>
      <c r="W33" s="145"/>
      <c r="X33" s="211"/>
      <c r="Y33" s="1"/>
    </row>
    <row r="34" spans="1:25" ht="15">
      <c r="A34" s="1"/>
      <c r="D34" s="138" t="s">
        <v>225</v>
      </c>
      <c r="E34" s="138"/>
      <c r="F34" s="138"/>
      <c r="G34" s="138"/>
      <c r="H34" s="138"/>
      <c r="I34" s="211"/>
      <c r="J34" s="138"/>
      <c r="K34" s="138"/>
      <c r="L34" s="138"/>
      <c r="M34" s="138"/>
      <c r="N34" s="211"/>
      <c r="O34" s="145"/>
      <c r="P34" s="145"/>
      <c r="Q34" s="145"/>
      <c r="R34" s="145"/>
      <c r="S34" s="211"/>
      <c r="T34" s="145"/>
      <c r="U34" s="145"/>
      <c r="V34" s="145"/>
      <c r="W34" s="145"/>
      <c r="X34" s="211"/>
      <c r="Y34" s="1"/>
    </row>
    <row r="35" spans="1:25" ht="15">
      <c r="A35" s="1"/>
      <c r="D35" s="138"/>
      <c r="E35" s="138"/>
      <c r="F35" s="138"/>
      <c r="G35" s="138"/>
      <c r="H35" s="138"/>
      <c r="I35" s="211"/>
      <c r="J35" s="138"/>
      <c r="K35" s="138"/>
      <c r="L35" s="138"/>
      <c r="M35" s="138"/>
      <c r="N35" s="211"/>
      <c r="O35" s="145"/>
      <c r="P35" s="145"/>
      <c r="Q35" s="145"/>
      <c r="R35" s="145"/>
      <c r="S35" s="211"/>
      <c r="T35" s="145"/>
      <c r="U35" s="145"/>
      <c r="V35" s="145"/>
      <c r="W35" s="145"/>
      <c r="X35" s="211"/>
      <c r="Y35" s="1"/>
    </row>
    <row r="36" spans="1:25" ht="15">
      <c r="A36" s="1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"/>
    </row>
    <row r="37" spans="1:25" ht="15">
      <c r="A37" s="1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"/>
    </row>
    <row r="38" spans="1:25" ht="15">
      <c r="A38" s="1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"/>
    </row>
    <row r="39" spans="1:25" ht="15">
      <c r="A39" s="1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"/>
    </row>
    <row r="40" spans="1:25" ht="15">
      <c r="A40" s="1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"/>
    </row>
    <row r="41" spans="1:25" ht="15">
      <c r="A41" s="1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"/>
    </row>
    <row r="42" spans="1:25" ht="15">
      <c r="A42" s="1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"/>
    </row>
    <row r="43" spans="1:25" ht="15">
      <c r="A43" s="1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"/>
    </row>
    <row r="44" spans="1:25" ht="15">
      <c r="A44" s="1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"/>
    </row>
    <row r="45" spans="1:25" ht="15">
      <c r="A45" s="1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"/>
    </row>
    <row r="46" spans="1:25" ht="15">
      <c r="A46" s="1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"/>
    </row>
    <row r="47" spans="1:25" ht="15">
      <c r="A47" s="1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"/>
    </row>
    <row r="48" spans="1:25" ht="15">
      <c r="A48" s="1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"/>
    </row>
    <row r="49" spans="1:25" ht="15">
      <c r="A49" s="1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"/>
    </row>
    <row r="50" spans="1:25" ht="15">
      <c r="A50" s="1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"/>
    </row>
    <row r="51" spans="1:25" ht="15">
      <c r="A51" s="1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"/>
    </row>
    <row r="52" spans="1:25" ht="15">
      <c r="A52" s="1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"/>
    </row>
    <row r="53" spans="1:25" ht="15">
      <c r="A53" s="1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"/>
    </row>
    <row r="54" spans="1:25" ht="15">
      <c r="A54" s="1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"/>
    </row>
    <row r="55" spans="1:25" ht="15">
      <c r="A55" s="1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"/>
    </row>
    <row r="56" spans="1:25" ht="15">
      <c r="A56" s="1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"/>
    </row>
    <row r="57" spans="1:25" ht="15">
      <c r="A57" s="1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"/>
    </row>
    <row r="58" spans="1:25" ht="15">
      <c r="A58" s="1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"/>
    </row>
    <row r="59" spans="1:25" ht="15">
      <c r="A59" s="1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"/>
    </row>
    <row r="60" spans="1:25" ht="15">
      <c r="A60" s="1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"/>
    </row>
    <row r="61" spans="1:25" ht="15">
      <c r="A61" s="1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"/>
    </row>
    <row r="62" spans="1:25" ht="15">
      <c r="A62" s="1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"/>
    </row>
    <row r="63" spans="1:25" ht="15">
      <c r="A63" s="1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"/>
    </row>
    <row r="64" spans="1:25" ht="15">
      <c r="A64" s="1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"/>
    </row>
    <row r="65" spans="1:25" ht="15">
      <c r="A65" s="1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"/>
    </row>
    <row r="66" spans="1:25" ht="15">
      <c r="A66" s="1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"/>
    </row>
    <row r="67" spans="1:25" ht="15">
      <c r="A67" s="1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"/>
    </row>
    <row r="68" spans="1:25" ht="15">
      <c r="A68" s="1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"/>
    </row>
    <row r="69" spans="1:25" ht="15">
      <c r="A69" s="1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"/>
    </row>
    <row r="70" spans="1:25" ht="15">
      <c r="A70" s="1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"/>
    </row>
    <row r="71" spans="1:25" ht="15">
      <c r="A71" s="1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"/>
    </row>
    <row r="72" spans="1:25" ht="15">
      <c r="A72" s="1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"/>
    </row>
    <row r="73" spans="1:25" ht="15">
      <c r="A73" s="1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"/>
    </row>
    <row r="74" spans="1:25" ht="15">
      <c r="A74" s="1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"/>
    </row>
    <row r="75" spans="1:25" ht="15">
      <c r="A75" s="1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"/>
    </row>
    <row r="76" spans="1:25" ht="15">
      <c r="A76" s="1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"/>
    </row>
    <row r="77" spans="1:25" ht="15">
      <c r="A77" s="1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"/>
    </row>
    <row r="78" spans="1:25" ht="15">
      <c r="A78" s="1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"/>
    </row>
    <row r="79" spans="1:25" ht="15">
      <c r="A79" s="1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"/>
    </row>
    <row r="80" spans="1:25" ht="15">
      <c r="A80" s="1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"/>
    </row>
    <row r="81" spans="1:25" ht="15">
      <c r="A81" s="1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"/>
    </row>
    <row r="82" spans="1:25" ht="15">
      <c r="A82" s="1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"/>
    </row>
    <row r="83" spans="1:25" ht="15">
      <c r="A83" s="1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"/>
    </row>
    <row r="84" spans="1:25" ht="15">
      <c r="A84" s="1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"/>
    </row>
    <row r="85" spans="1:25" ht="15">
      <c r="A85" s="1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"/>
    </row>
    <row r="86" spans="1:25" ht="15">
      <c r="A86" s="1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"/>
    </row>
    <row r="87" spans="1:25" ht="15">
      <c r="A87" s="1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"/>
    </row>
    <row r="88" spans="1:25" ht="15">
      <c r="A88" s="1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"/>
    </row>
    <row r="89" spans="1:25" ht="15">
      <c r="A89" s="1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"/>
    </row>
    <row r="90" spans="1:25" ht="15">
      <c r="A90" s="1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"/>
    </row>
    <row r="91" spans="1:25" ht="15">
      <c r="A91" s="1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"/>
    </row>
    <row r="92" spans="1:25" ht="15">
      <c r="A92" s="1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"/>
    </row>
    <row r="93" spans="1:25" ht="15">
      <c r="A93" s="1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"/>
    </row>
    <row r="94" spans="1:25" ht="15">
      <c r="A94" s="1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"/>
    </row>
    <row r="95" spans="1:25" ht="15">
      <c r="A95" s="1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"/>
    </row>
    <row r="96" spans="1:25" ht="15">
      <c r="A96" s="1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"/>
    </row>
    <row r="97" spans="1:25" ht="15">
      <c r="A97" s="1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"/>
    </row>
    <row r="98" spans="1:25" ht="15">
      <c r="A98" s="1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"/>
    </row>
    <row r="99" spans="1:25" ht="15">
      <c r="A99" s="1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"/>
    </row>
    <row r="100" spans="1:25" ht="15">
      <c r="A100" s="1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"/>
    </row>
    <row r="101" spans="1:25" ht="15">
      <c r="A101" s="1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"/>
    </row>
    <row r="102" spans="1:25" ht="15">
      <c r="A102" s="1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"/>
    </row>
    <row r="103" spans="1:25" ht="15">
      <c r="A103" s="1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"/>
    </row>
    <row r="104" spans="1:25" ht="15">
      <c r="A104" s="1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"/>
    </row>
    <row r="105" spans="1:25" ht="15">
      <c r="A105" s="1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"/>
    </row>
    <row r="106" spans="1:25" ht="15">
      <c r="A106" s="1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"/>
    </row>
    <row r="107" spans="1:25" ht="15">
      <c r="A107" s="1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"/>
    </row>
    <row r="108" spans="1:25" ht="15">
      <c r="A108" s="1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"/>
    </row>
    <row r="109" spans="1:25" ht="15">
      <c r="A109" s="1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"/>
    </row>
    <row r="110" spans="1:25" ht="15">
      <c r="A110" s="1"/>
      <c r="O110" s="137"/>
      <c r="P110" s="137"/>
      <c r="Q110" s="137"/>
      <c r="R110" s="137"/>
      <c r="S110" s="137"/>
      <c r="T110" s="137"/>
      <c r="U110" s="137"/>
      <c r="V110" s="137"/>
      <c r="W110" s="137"/>
      <c r="X110" s="137"/>
      <c r="Y110" s="1"/>
    </row>
    <row r="111" spans="1:25" ht="15">
      <c r="A111" s="1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"/>
    </row>
    <row r="112" spans="1:25" ht="15">
      <c r="A112" s="1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"/>
    </row>
    <row r="113" spans="1:25" ht="15">
      <c r="A113" s="1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"/>
    </row>
    <row r="114" spans="1:25" ht="15">
      <c r="A114" s="1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"/>
    </row>
    <row r="115" spans="1:25" ht="15">
      <c r="A115" s="1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"/>
    </row>
    <row r="116" spans="1:25" ht="15">
      <c r="A116" s="1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"/>
    </row>
    <row r="117" spans="1:25" ht="15">
      <c r="A117" s="1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"/>
    </row>
    <row r="118" spans="1:25" ht="15">
      <c r="A118" s="1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"/>
    </row>
    <row r="119" spans="1:25" ht="15">
      <c r="A119" s="1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"/>
    </row>
    <row r="120" spans="1:25" ht="15">
      <c r="A120" s="1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"/>
    </row>
    <row r="121" spans="1:25" ht="15">
      <c r="A121" s="1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"/>
    </row>
    <row r="122" spans="1:25" ht="15">
      <c r="A122" s="1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"/>
    </row>
    <row r="123" spans="1:25" ht="15">
      <c r="A123" s="1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"/>
    </row>
    <row r="124" spans="1:25" ht="15">
      <c r="A124" s="1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"/>
    </row>
    <row r="125" spans="1:25" ht="15">
      <c r="A125" s="1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"/>
    </row>
  </sheetData>
  <mergeCells count="1">
    <mergeCell ref="E2:M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45"/>
  <sheetViews>
    <sheetView showGridLines="0" zoomScale="110" zoomScaleNormal="110" workbookViewId="0">
      <selection activeCell="B3" sqref="B3"/>
    </sheetView>
  </sheetViews>
  <sheetFormatPr defaultColWidth="0" defaultRowHeight="15" zeroHeight="1" outlineLevelRow="2"/>
  <cols>
    <col min="1" max="1" width="3.7109375" style="92" customWidth="1"/>
    <col min="2" max="3" width="2.7109375" style="75" customWidth="1"/>
    <col min="4" max="4" width="39.7109375" style="75" customWidth="1"/>
    <col min="5" max="8" width="7.7109375" style="75" customWidth="1"/>
    <col min="9" max="9" width="3.7109375" style="92" customWidth="1"/>
    <col min="10" max="13" width="0" style="75" hidden="1" customWidth="1"/>
    <col min="14" max="16384" width="9.140625" style="75" hidden="1"/>
  </cols>
  <sheetData>
    <row r="1" spans="2:8" s="92" customFormat="1"/>
    <row r="2" spans="2:8" s="92" customFormat="1" ht="23.25">
      <c r="B2" s="131" t="str">
        <f>Company_Name</f>
        <v>BorgWarner Inc. (BWA)</v>
      </c>
      <c r="C2" s="95"/>
      <c r="D2" s="95"/>
      <c r="E2" s="95"/>
      <c r="F2" s="95"/>
      <c r="G2" s="95"/>
      <c r="H2" s="95"/>
    </row>
    <row r="3" spans="2:8" s="92" customFormat="1">
      <c r="B3" s="95" t="s">
        <v>230</v>
      </c>
      <c r="C3" s="95"/>
      <c r="D3" s="95"/>
      <c r="E3" s="329" t="s">
        <v>3</v>
      </c>
      <c r="F3" s="329"/>
      <c r="G3" s="95"/>
      <c r="H3" s="95"/>
    </row>
    <row r="4" spans="2:8" s="92" customFormat="1">
      <c r="B4" s="134" t="str">
        <f>Currency</f>
        <v>(expressed in millions)</v>
      </c>
      <c r="C4" s="95"/>
      <c r="D4" s="95"/>
      <c r="E4" s="233">
        <f>EDATE(F4,-12)</f>
        <v>43435</v>
      </c>
      <c r="F4" s="233">
        <f>LHY</f>
        <v>43800</v>
      </c>
      <c r="G4" s="232">
        <f t="shared" ref="G4:H4" si="0">EDATE(F4,12)</f>
        <v>44166</v>
      </c>
      <c r="H4" s="232">
        <f t="shared" si="0"/>
        <v>44531</v>
      </c>
    </row>
    <row r="5" spans="2:8" s="92" customFormat="1">
      <c r="B5" s="75"/>
      <c r="C5" s="75"/>
      <c r="D5" s="75"/>
      <c r="E5" s="75"/>
      <c r="F5" s="75"/>
      <c r="G5" s="137"/>
      <c r="H5" s="137"/>
    </row>
    <row r="6" spans="2:8" s="92" customFormat="1">
      <c r="B6" s="75"/>
      <c r="C6" s="75"/>
      <c r="D6" s="75"/>
      <c r="E6" s="75"/>
      <c r="F6" s="75"/>
      <c r="G6" s="137"/>
      <c r="H6" s="137"/>
    </row>
    <row r="7" spans="2:8" s="92" customFormat="1">
      <c r="B7" s="75"/>
      <c r="C7" s="75"/>
      <c r="D7" s="58" t="s">
        <v>138</v>
      </c>
      <c r="E7" s="58"/>
      <c r="F7" s="58"/>
      <c r="G7" s="137"/>
      <c r="H7" s="137"/>
    </row>
    <row r="8" spans="2:8" s="92" customFormat="1">
      <c r="B8" s="75"/>
      <c r="C8" s="75"/>
      <c r="D8" s="230" t="s">
        <v>139</v>
      </c>
      <c r="E8" s="77"/>
      <c r="F8" s="77"/>
      <c r="G8" s="137"/>
      <c r="H8" s="137"/>
    </row>
    <row r="9" spans="2:8" s="92" customFormat="1">
      <c r="B9" s="75"/>
      <c r="C9" s="75"/>
      <c r="D9" s="83" t="s">
        <v>140</v>
      </c>
      <c r="E9" s="96">
        <v>739</v>
      </c>
      <c r="F9" s="96">
        <v>832</v>
      </c>
      <c r="G9" s="224">
        <f>'CASH FLOW STATEMENT'!G54</f>
        <v>1187.262474039168</v>
      </c>
      <c r="H9" s="224">
        <f>'CASH FLOW STATEMENT'!H54</f>
        <v>2797.9515917003009</v>
      </c>
    </row>
    <row r="10" spans="2:8" s="92" customFormat="1">
      <c r="B10" s="75"/>
      <c r="C10" s="75"/>
      <c r="D10" s="76" t="s">
        <v>80</v>
      </c>
      <c r="E10" s="96">
        <v>1988</v>
      </c>
      <c r="F10" s="257">
        <v>1921</v>
      </c>
      <c r="G10" s="234">
        <f>'INCOME STATEMENT'!S6*Asumptions!S28</f>
        <v>1892.2643489378445</v>
      </c>
      <c r="H10" s="234">
        <f>'INCOME STATEMENT'!X6*Asumptions!X28</f>
        <v>1901.9694986329662</v>
      </c>
    </row>
    <row r="11" spans="2:8" s="92" customFormat="1">
      <c r="B11" s="75"/>
      <c r="C11" s="75"/>
      <c r="D11" s="76" t="s">
        <v>81</v>
      </c>
      <c r="E11" s="96">
        <v>781</v>
      </c>
      <c r="F11" s="257">
        <v>807</v>
      </c>
      <c r="G11" s="234">
        <f>'INCOME STATEMENT'!S7*Asumptions!S30</f>
        <v>769.12157953493272</v>
      </c>
      <c r="H11" s="234">
        <f>'INCOME STATEMENT'!T7*Asumptions!X30</f>
        <v>186.73128463090495</v>
      </c>
    </row>
    <row r="12" spans="2:8" s="92" customFormat="1">
      <c r="B12" s="75"/>
      <c r="C12" s="75"/>
      <c r="D12" s="76" t="s">
        <v>47</v>
      </c>
      <c r="E12" s="96">
        <v>250</v>
      </c>
      <c r="F12" s="257">
        <v>276</v>
      </c>
      <c r="G12" s="234">
        <f>Asumptions!$S$32</f>
        <v>263</v>
      </c>
      <c r="H12" s="234">
        <f>Asumptions!$S$32</f>
        <v>263</v>
      </c>
    </row>
    <row r="13" spans="2:8" s="92" customFormat="1">
      <c r="B13" s="75"/>
      <c r="C13" s="75"/>
      <c r="D13" s="76" t="s">
        <v>82</v>
      </c>
      <c r="E13" s="217">
        <v>47</v>
      </c>
      <c r="F13" s="257"/>
      <c r="G13" s="258"/>
      <c r="H13" s="258"/>
    </row>
    <row r="14" spans="2:8" s="92" customFormat="1">
      <c r="B14" s="75"/>
      <c r="C14" s="75"/>
      <c r="D14" s="218" t="s">
        <v>83</v>
      </c>
      <c r="E14" s="219">
        <f>SUM(E9:E13)</f>
        <v>3805</v>
      </c>
      <c r="F14" s="219">
        <f t="shared" ref="F14:H14" si="1">SUM(F9:F13)</f>
        <v>3836</v>
      </c>
      <c r="G14" s="225">
        <f t="shared" si="1"/>
        <v>4111.6484025119453</v>
      </c>
      <c r="H14" s="225">
        <f t="shared" ref="H14" si="2">SUM(H9:H13)</f>
        <v>5149.6523749641719</v>
      </c>
    </row>
    <row r="15" spans="2:8" s="92" customFormat="1">
      <c r="B15" s="75"/>
      <c r="C15" s="75"/>
      <c r="D15" s="230" t="s">
        <v>141</v>
      </c>
      <c r="E15" s="96"/>
      <c r="F15" s="96"/>
      <c r="G15" s="234"/>
      <c r="H15" s="234"/>
    </row>
    <row r="16" spans="2:8" s="92" customFormat="1">
      <c r="B16" s="75"/>
      <c r="C16" s="75"/>
      <c r="D16" s="76" t="s">
        <v>84</v>
      </c>
      <c r="E16" s="96">
        <v>2904</v>
      </c>
      <c r="F16" s="257">
        <v>2925</v>
      </c>
      <c r="G16" s="234">
        <f>FAM!G51</f>
        <v>2873.1358839689151</v>
      </c>
      <c r="H16" s="234">
        <f>FAM!H51</f>
        <v>2843.9381274341195</v>
      </c>
    </row>
    <row r="17" spans="2:8" s="92" customFormat="1">
      <c r="B17" s="75"/>
      <c r="C17" s="75"/>
      <c r="D17" s="76" t="s">
        <v>85</v>
      </c>
      <c r="E17" s="96">
        <v>592</v>
      </c>
      <c r="F17" s="257">
        <v>318</v>
      </c>
      <c r="G17" s="234">
        <f>Asumptions!S37</f>
        <v>455</v>
      </c>
      <c r="H17" s="234">
        <f>Asumptions!X37</f>
        <v>386.5</v>
      </c>
    </row>
    <row r="18" spans="2:8" s="92" customFormat="1">
      <c r="B18" s="75"/>
      <c r="C18" s="75"/>
      <c r="D18" s="76" t="s">
        <v>86</v>
      </c>
      <c r="E18" s="96">
        <v>1853</v>
      </c>
      <c r="F18" s="257">
        <v>1842</v>
      </c>
      <c r="G18" s="234">
        <f>Asumptions!S39</f>
        <v>1842</v>
      </c>
      <c r="H18" s="234">
        <f>Asumptions!X39</f>
        <v>1842</v>
      </c>
    </row>
    <row r="19" spans="2:8" s="92" customFormat="1">
      <c r="B19" s="75"/>
      <c r="C19" s="75"/>
      <c r="D19" s="76" t="s">
        <v>87</v>
      </c>
      <c r="E19" s="96">
        <v>439</v>
      </c>
      <c r="F19" s="257">
        <v>402</v>
      </c>
      <c r="G19" s="234">
        <f>Asumptions!S41</f>
        <v>402</v>
      </c>
      <c r="H19" s="234">
        <f>Asumptions!X41</f>
        <v>402</v>
      </c>
    </row>
    <row r="20" spans="2:8" s="92" customFormat="1">
      <c r="B20" s="75"/>
      <c r="C20" s="75"/>
      <c r="D20" s="76" t="s">
        <v>88</v>
      </c>
      <c r="E20" s="217">
        <v>502</v>
      </c>
      <c r="F20" s="257">
        <v>379</v>
      </c>
      <c r="G20" s="258">
        <f>Asumptions!S43</f>
        <v>379</v>
      </c>
      <c r="H20" s="258">
        <f>Asumptions!X43</f>
        <v>379</v>
      </c>
    </row>
    <row r="21" spans="2:8" s="92" customFormat="1" ht="15.75" thickBot="1">
      <c r="B21" s="75"/>
      <c r="C21" s="75"/>
      <c r="D21" s="220" t="s">
        <v>142</v>
      </c>
      <c r="E21" s="219">
        <f>SUM(E16:E20)</f>
        <v>6290</v>
      </c>
      <c r="F21" s="219">
        <f t="shared" ref="F21:H21" si="3">SUM(F16:F20)</f>
        <v>5866</v>
      </c>
      <c r="G21" s="225">
        <f t="shared" si="3"/>
        <v>5951.1358839689146</v>
      </c>
      <c r="H21" s="225">
        <f t="shared" ref="H21" si="4">SUM(H16:H20)</f>
        <v>5853.4381274341195</v>
      </c>
    </row>
    <row r="22" spans="2:8" s="92" customFormat="1" ht="15.75" thickBot="1">
      <c r="B22" s="75"/>
      <c r="C22" s="75"/>
      <c r="D22" s="99" t="s">
        <v>89</v>
      </c>
      <c r="E22" s="100">
        <f>E14+E21</f>
        <v>10095</v>
      </c>
      <c r="F22" s="100">
        <f t="shared" ref="F22:H22" si="5">F14+F21</f>
        <v>9702</v>
      </c>
      <c r="G22" s="226">
        <f t="shared" si="5"/>
        <v>10062.784286480859</v>
      </c>
      <c r="H22" s="226">
        <f t="shared" ref="H22" si="6">H14+H21</f>
        <v>11003.090502398292</v>
      </c>
    </row>
    <row r="23" spans="2:8" s="92" customFormat="1">
      <c r="B23" s="75"/>
      <c r="C23" s="75"/>
      <c r="D23" s="76"/>
      <c r="E23" s="96"/>
      <c r="F23" s="96"/>
      <c r="G23" s="234"/>
      <c r="H23" s="234"/>
    </row>
    <row r="24" spans="2:8" s="92" customFormat="1" outlineLevel="1">
      <c r="B24" s="75"/>
      <c r="C24" s="75"/>
      <c r="D24" s="58" t="s">
        <v>143</v>
      </c>
      <c r="E24" s="98"/>
      <c r="F24" s="98"/>
      <c r="G24" s="234"/>
      <c r="H24" s="234"/>
    </row>
    <row r="25" spans="2:8" s="92" customFormat="1" outlineLevel="1">
      <c r="B25" s="75"/>
      <c r="C25" s="75"/>
      <c r="D25" s="230" t="s">
        <v>144</v>
      </c>
      <c r="E25" s="98"/>
      <c r="F25" s="98"/>
      <c r="G25" s="234"/>
      <c r="H25" s="234"/>
    </row>
    <row r="26" spans="2:8" s="92" customFormat="1" outlineLevel="1">
      <c r="B26" s="75"/>
      <c r="C26" s="75"/>
      <c r="D26" s="83" t="s">
        <v>91</v>
      </c>
      <c r="E26" s="96">
        <v>173</v>
      </c>
      <c r="F26" s="257">
        <v>286</v>
      </c>
      <c r="G26" s="234">
        <f>Asumptions!S46</f>
        <v>229.5</v>
      </c>
      <c r="H26" s="234">
        <f>Asumptions!X46</f>
        <v>257.75</v>
      </c>
    </row>
    <row r="27" spans="2:8" s="92" customFormat="1" outlineLevel="1">
      <c r="B27" s="75"/>
      <c r="C27" s="75"/>
      <c r="D27" s="83" t="s">
        <v>48</v>
      </c>
      <c r="E27" s="96">
        <v>2144</v>
      </c>
      <c r="F27" s="257">
        <v>1977</v>
      </c>
      <c r="G27" s="234">
        <f>'INCOME STATEMENT'!S7*Asumptions!S48</f>
        <v>1576.9703331681064</v>
      </c>
      <c r="H27" s="234">
        <f>'INCOME STATEMENT'!X7*Asumptions!X48</f>
        <v>1567.0899806632419</v>
      </c>
    </row>
    <row r="28" spans="2:8" s="92" customFormat="1" outlineLevel="1">
      <c r="B28" s="75"/>
      <c r="C28" s="75"/>
      <c r="D28" s="83" t="s">
        <v>92</v>
      </c>
      <c r="E28" s="96">
        <v>59</v>
      </c>
      <c r="F28" s="257">
        <v>66</v>
      </c>
      <c r="G28" s="234">
        <f>Asumptions!S50</f>
        <v>62.5</v>
      </c>
      <c r="H28" s="234">
        <f>Asumptions!X50</f>
        <v>64.25</v>
      </c>
    </row>
    <row r="29" spans="2:8" s="92" customFormat="1" outlineLevel="1">
      <c r="B29" s="75"/>
      <c r="C29" s="75"/>
      <c r="D29" s="83" t="s">
        <v>93</v>
      </c>
      <c r="E29" s="96">
        <v>23</v>
      </c>
      <c r="F29" s="257"/>
      <c r="G29" s="234"/>
      <c r="H29" s="234"/>
    </row>
    <row r="30" spans="2:8" s="92" customFormat="1" outlineLevel="1">
      <c r="B30" s="75"/>
      <c r="C30" s="75"/>
      <c r="D30" s="220" t="s">
        <v>94</v>
      </c>
      <c r="E30" s="219">
        <f t="shared" ref="E30:H30" si="7">SUM(E26:E29)</f>
        <v>2399</v>
      </c>
      <c r="F30" s="259">
        <f t="shared" si="7"/>
        <v>2329</v>
      </c>
      <c r="G30" s="260">
        <f t="shared" si="7"/>
        <v>1868.9703331681064</v>
      </c>
      <c r="H30" s="260">
        <f t="shared" si="7"/>
        <v>1889.0899806632419</v>
      </c>
    </row>
    <row r="31" spans="2:8" s="92" customFormat="1" outlineLevel="1">
      <c r="B31" s="75"/>
      <c r="C31" s="75"/>
      <c r="D31" s="121" t="s">
        <v>95</v>
      </c>
      <c r="E31" s="334">
        <v>1941</v>
      </c>
      <c r="F31" s="257">
        <v>1674</v>
      </c>
      <c r="G31" s="333">
        <f>DRS!H74</f>
        <v>1729.8081889098969</v>
      </c>
      <c r="H31" s="333">
        <f>DRS!I74</f>
        <v>1688.6760139580629</v>
      </c>
    </row>
    <row r="32" spans="2:8" s="92" customFormat="1" outlineLevel="1">
      <c r="B32" s="75"/>
      <c r="C32" s="75"/>
      <c r="D32" s="231" t="s">
        <v>96</v>
      </c>
      <c r="E32" s="96"/>
      <c r="F32" s="257"/>
      <c r="G32" s="234"/>
      <c r="H32" s="234"/>
    </row>
    <row r="33" spans="2:8" s="92" customFormat="1" outlineLevel="2">
      <c r="B33" s="75"/>
      <c r="C33" s="75"/>
      <c r="D33" s="83" t="s">
        <v>145</v>
      </c>
      <c r="E33" s="96">
        <v>755</v>
      </c>
      <c r="F33" s="257"/>
      <c r="G33" s="234"/>
      <c r="H33" s="234"/>
    </row>
    <row r="34" spans="2:8" s="92" customFormat="1" outlineLevel="2">
      <c r="B34" s="75"/>
      <c r="C34" s="75"/>
      <c r="D34" s="83" t="s">
        <v>98</v>
      </c>
      <c r="E34" s="96">
        <v>298</v>
      </c>
      <c r="F34" s="257">
        <v>306</v>
      </c>
      <c r="G34" s="234">
        <f>Asumptions!S53</f>
        <v>315.18</v>
      </c>
      <c r="H34" s="234">
        <f>Asumptions!X53</f>
        <v>324.6354</v>
      </c>
    </row>
    <row r="35" spans="2:8" s="92" customFormat="1" outlineLevel="2">
      <c r="B35" s="75"/>
      <c r="C35" s="75"/>
      <c r="D35" s="83" t="s">
        <v>99</v>
      </c>
      <c r="E35" s="96">
        <v>357</v>
      </c>
      <c r="F35" s="257">
        <v>549</v>
      </c>
      <c r="G35" s="234">
        <f>Asumptions!S55</f>
        <v>453</v>
      </c>
      <c r="H35" s="234">
        <f>Asumptions!X55</f>
        <v>501</v>
      </c>
    </row>
    <row r="36" spans="2:8" s="92" customFormat="1" outlineLevel="2">
      <c r="B36" s="75"/>
      <c r="C36" s="75"/>
      <c r="D36" s="220" t="s">
        <v>100</v>
      </c>
      <c r="E36" s="219">
        <f t="shared" ref="E36:H36" si="8">SUM(E33:E35)</f>
        <v>1410</v>
      </c>
      <c r="F36" s="219">
        <f t="shared" si="8"/>
        <v>855</v>
      </c>
      <c r="G36" s="260">
        <f t="shared" si="8"/>
        <v>768.18000000000006</v>
      </c>
      <c r="H36" s="260">
        <f t="shared" si="8"/>
        <v>825.6354</v>
      </c>
    </row>
    <row r="37" spans="2:8" s="92" customFormat="1" outlineLevel="2">
      <c r="B37" s="75"/>
      <c r="C37" s="75"/>
      <c r="D37" s="221" t="s">
        <v>146</v>
      </c>
      <c r="E37" s="222">
        <f>E30+E31+E36</f>
        <v>5750</v>
      </c>
      <c r="F37" s="222">
        <f t="shared" ref="F37:H37" si="9">F30+F31+F36</f>
        <v>4858</v>
      </c>
      <c r="G37" s="227">
        <f t="shared" si="9"/>
        <v>4366.9585220780036</v>
      </c>
      <c r="H37" s="227">
        <f t="shared" si="9"/>
        <v>4403.4013946213045</v>
      </c>
    </row>
    <row r="38" spans="2:8" s="92" customFormat="1" outlineLevel="2">
      <c r="B38" s="75"/>
      <c r="C38" s="75"/>
      <c r="D38" s="58"/>
      <c r="E38" s="98"/>
      <c r="F38" s="98"/>
      <c r="G38" s="234"/>
      <c r="H38" s="234"/>
    </row>
    <row r="39" spans="2:8" s="92" customFormat="1" outlineLevel="2">
      <c r="B39" s="75"/>
      <c r="C39" s="75"/>
      <c r="D39" s="58" t="s">
        <v>119</v>
      </c>
      <c r="E39" s="96"/>
      <c r="F39" s="96"/>
      <c r="G39" s="234"/>
      <c r="H39" s="234"/>
    </row>
    <row r="40" spans="2:8" s="92" customFormat="1" outlineLevel="2">
      <c r="B40" s="75"/>
      <c r="C40" s="75"/>
      <c r="D40" s="83" t="s">
        <v>147</v>
      </c>
      <c r="E40" s="96" t="s">
        <v>14</v>
      </c>
      <c r="F40" s="96" t="s">
        <v>14</v>
      </c>
      <c r="G40" s="234"/>
      <c r="H40" s="234"/>
    </row>
    <row r="41" spans="2:8" s="92" customFormat="1" outlineLevel="2">
      <c r="B41" s="75"/>
      <c r="C41" s="75"/>
      <c r="D41" s="83" t="s">
        <v>148</v>
      </c>
      <c r="E41" s="96">
        <v>3</v>
      </c>
      <c r="F41" s="96">
        <v>3</v>
      </c>
      <c r="G41" s="234">
        <v>3</v>
      </c>
      <c r="H41" s="234">
        <v>3</v>
      </c>
    </row>
    <row r="42" spans="2:8" s="92" customFormat="1" outlineLevel="2">
      <c r="B42" s="75"/>
      <c r="C42" s="75"/>
      <c r="D42" s="83" t="s">
        <v>149</v>
      </c>
      <c r="E42" s="96" t="s">
        <v>14</v>
      </c>
      <c r="F42" s="96" t="s">
        <v>14</v>
      </c>
      <c r="G42" s="234"/>
      <c r="H42" s="234"/>
    </row>
    <row r="43" spans="2:8" s="92" customFormat="1" outlineLevel="2">
      <c r="B43" s="75"/>
      <c r="C43" s="75"/>
      <c r="D43" s="83" t="s">
        <v>102</v>
      </c>
      <c r="E43" s="96">
        <v>1146</v>
      </c>
      <c r="F43" s="96">
        <v>1145</v>
      </c>
      <c r="G43" s="234">
        <f t="shared" ref="G43:H43" si="10">F43</f>
        <v>1145</v>
      </c>
      <c r="H43" s="234">
        <f t="shared" si="10"/>
        <v>1145</v>
      </c>
    </row>
    <row r="44" spans="2:8" s="92" customFormat="1" outlineLevel="2">
      <c r="B44" s="75"/>
      <c r="C44" s="75"/>
      <c r="D44" s="83" t="s">
        <v>103</v>
      </c>
      <c r="E44" s="96">
        <v>5336</v>
      </c>
      <c r="F44" s="96">
        <v>5942</v>
      </c>
      <c r="G44" s="234">
        <f>F44+'INCOME STATEMENT'!S25</f>
        <v>6743.1543186293284</v>
      </c>
      <c r="H44" s="234">
        <f>G44+'INCOME STATEMENT'!X25</f>
        <v>7591.3670857676507</v>
      </c>
    </row>
    <row r="45" spans="2:8" s="92" customFormat="1" outlineLevel="2">
      <c r="B45" s="75"/>
      <c r="C45" s="75"/>
      <c r="D45" s="83" t="s">
        <v>104</v>
      </c>
      <c r="E45" s="96">
        <v>-674</v>
      </c>
      <c r="F45" s="96">
        <v>-727</v>
      </c>
      <c r="G45" s="234">
        <f t="shared" ref="G45:H46" si="11">F45</f>
        <v>-727</v>
      </c>
      <c r="H45" s="234">
        <f t="shared" si="11"/>
        <v>-727</v>
      </c>
    </row>
    <row r="46" spans="2:8" s="92" customFormat="1" outlineLevel="2">
      <c r="B46" s="75"/>
      <c r="C46" s="75"/>
      <c r="D46" s="83" t="s">
        <v>150</v>
      </c>
      <c r="E46" s="96">
        <v>-1585</v>
      </c>
      <c r="F46" s="96">
        <v>-1657</v>
      </c>
      <c r="G46" s="234">
        <f t="shared" si="11"/>
        <v>-1657</v>
      </c>
      <c r="H46" s="234">
        <f t="shared" si="11"/>
        <v>-1657</v>
      </c>
    </row>
    <row r="47" spans="2:8" s="92" customFormat="1" outlineLevel="2">
      <c r="B47" s="75"/>
      <c r="C47" s="75"/>
      <c r="D47" s="220" t="s">
        <v>106</v>
      </c>
      <c r="E47" s="219">
        <f>SUM(E41:E46)</f>
        <v>4226</v>
      </c>
      <c r="F47" s="219">
        <f>SUM(F41:F46)</f>
        <v>4706</v>
      </c>
      <c r="G47" s="225">
        <f t="shared" ref="G47:H47" si="12">SUM(G41:G46)</f>
        <v>5507.1543186293284</v>
      </c>
      <c r="H47" s="225">
        <f t="shared" si="12"/>
        <v>6355.3670857676516</v>
      </c>
    </row>
    <row r="48" spans="2:8" s="92" customFormat="1" outlineLevel="2">
      <c r="B48" s="75"/>
      <c r="C48" s="75"/>
      <c r="D48" s="83" t="s">
        <v>107</v>
      </c>
      <c r="E48" s="96">
        <v>119</v>
      </c>
      <c r="F48" s="96">
        <v>138</v>
      </c>
      <c r="G48" s="234">
        <f>F48+'INCOME STATEMENT'!S24</f>
        <v>188.67144577352866</v>
      </c>
      <c r="H48" s="234">
        <f>G48+'INCOME STATEMENT'!X24</f>
        <v>244.32202200933568</v>
      </c>
    </row>
    <row r="49" spans="2:11" s="92" customFormat="1" ht="15.75" outlineLevel="1" thickBot="1">
      <c r="B49" s="75"/>
      <c r="C49" s="75"/>
      <c r="D49" s="223" t="s">
        <v>108</v>
      </c>
      <c r="E49" s="261">
        <f>SUM(E47:E48)</f>
        <v>4345</v>
      </c>
      <c r="F49" s="261">
        <f t="shared" ref="F49:H49" si="13">SUM(F47:F48)</f>
        <v>4844</v>
      </c>
      <c r="G49" s="262">
        <f t="shared" si="13"/>
        <v>5695.8257644028572</v>
      </c>
      <c r="H49" s="262">
        <f t="shared" si="13"/>
        <v>6599.6891077769869</v>
      </c>
    </row>
    <row r="50" spans="2:11" s="92" customFormat="1" ht="15.75" outlineLevel="1" thickBot="1">
      <c r="B50" s="75"/>
      <c r="C50" s="75"/>
      <c r="D50" s="122" t="s">
        <v>109</v>
      </c>
      <c r="E50" s="123">
        <f>E49+E37</f>
        <v>10095</v>
      </c>
      <c r="F50" s="123">
        <f t="shared" ref="F50:H50" si="14">F49+F37</f>
        <v>9702</v>
      </c>
      <c r="G50" s="228">
        <f t="shared" si="14"/>
        <v>10062.784286480861</v>
      </c>
      <c r="H50" s="228">
        <f t="shared" si="14"/>
        <v>11003.090502398292</v>
      </c>
    </row>
    <row r="51" spans="2:11" s="92" customFormat="1">
      <c r="B51" s="75"/>
      <c r="C51" s="75"/>
      <c r="D51" s="76"/>
      <c r="E51" s="257"/>
      <c r="F51" s="257"/>
      <c r="G51" s="234"/>
      <c r="H51" s="234"/>
    </row>
    <row r="52" spans="2:11" s="92" customFormat="1">
      <c r="B52" s="75"/>
      <c r="C52" s="75"/>
      <c r="D52" s="76"/>
      <c r="E52" s="257"/>
      <c r="F52" s="257"/>
      <c r="G52" s="234"/>
      <c r="H52" s="234"/>
      <c r="J52" s="75"/>
      <c r="K52" s="75"/>
    </row>
    <row r="53" spans="2:11" s="102" customFormat="1">
      <c r="B53" s="75"/>
      <c r="C53" s="75"/>
      <c r="D53" s="7" t="s">
        <v>151</v>
      </c>
      <c r="E53" s="101">
        <f>E50-E22</f>
        <v>0</v>
      </c>
      <c r="F53" s="101">
        <f t="shared" ref="F53:H53" si="15">F50-F22</f>
        <v>0</v>
      </c>
      <c r="G53" s="229">
        <f t="shared" si="15"/>
        <v>0</v>
      </c>
      <c r="H53" s="229">
        <f t="shared" si="15"/>
        <v>0</v>
      </c>
      <c r="I53" s="92"/>
    </row>
    <row r="54" spans="2:11" s="102" customFormat="1">
      <c r="B54" s="75"/>
      <c r="C54" s="75"/>
      <c r="D54" s="75"/>
      <c r="E54" s="75"/>
      <c r="F54" s="75"/>
      <c r="G54" s="137"/>
      <c r="H54" s="137"/>
      <c r="I54" s="92"/>
    </row>
    <row r="55" spans="2:11" s="92" customFormat="1">
      <c r="J55" s="75"/>
      <c r="K55" s="75"/>
    </row>
    <row r="56" spans="2:11" s="92" customFormat="1" hidden="1">
      <c r="B56" s="75"/>
      <c r="C56" s="75"/>
      <c r="D56" s="75"/>
      <c r="E56" s="75"/>
      <c r="F56" s="75"/>
      <c r="G56" s="75"/>
      <c r="H56" s="75"/>
      <c r="J56" s="75"/>
      <c r="K56" s="75"/>
    </row>
    <row r="57" spans="2:11" s="92" customFormat="1" hidden="1">
      <c r="B57" s="75"/>
      <c r="C57" s="75"/>
      <c r="D57" s="75"/>
      <c r="E57" s="75"/>
      <c r="F57" s="75"/>
      <c r="G57" s="75"/>
      <c r="H57" s="75"/>
      <c r="J57" s="75"/>
      <c r="K57" s="75"/>
    </row>
    <row r="58" spans="2:11" s="92" customFormat="1" hidden="1">
      <c r="B58" s="75"/>
      <c r="C58" s="75"/>
      <c r="D58" s="75"/>
      <c r="E58" s="75"/>
      <c r="F58" s="75"/>
      <c r="G58" s="75"/>
      <c r="H58" s="75"/>
      <c r="J58" s="75"/>
      <c r="K58" s="75"/>
    </row>
    <row r="59" spans="2:11" s="92" customFormat="1" hidden="1">
      <c r="B59" s="75"/>
      <c r="C59" s="75"/>
      <c r="D59" s="75"/>
      <c r="E59" s="75"/>
      <c r="F59" s="75"/>
      <c r="G59" s="75"/>
      <c r="H59" s="75"/>
      <c r="J59" s="75"/>
      <c r="K59" s="75"/>
    </row>
    <row r="60" spans="2:11" s="102" customFormat="1" hidden="1">
      <c r="B60" s="75"/>
      <c r="C60" s="75"/>
      <c r="D60" s="75"/>
      <c r="E60" s="75"/>
      <c r="F60" s="75"/>
      <c r="G60" s="75"/>
      <c r="H60" s="75"/>
      <c r="I60" s="92"/>
      <c r="J60" s="7"/>
      <c r="K60" s="7"/>
    </row>
    <row r="61" spans="2:11" s="102" customFormat="1" hidden="1">
      <c r="B61" s="75"/>
      <c r="C61" s="75"/>
      <c r="D61" s="75"/>
      <c r="E61" s="75"/>
      <c r="F61" s="75"/>
      <c r="G61" s="75"/>
      <c r="H61" s="75"/>
      <c r="I61" s="92"/>
      <c r="J61" s="7"/>
      <c r="K61" s="7"/>
    </row>
    <row r="62" spans="2:11" s="92" customFormat="1" hidden="1">
      <c r="B62" s="75"/>
      <c r="C62" s="75"/>
      <c r="D62" s="75"/>
      <c r="E62" s="75"/>
      <c r="F62" s="75"/>
      <c r="G62" s="97"/>
      <c r="H62" s="97"/>
      <c r="J62" s="75"/>
      <c r="K62" s="75"/>
    </row>
    <row r="63" spans="2:11" s="102" customFormat="1" hidden="1">
      <c r="B63" s="7"/>
      <c r="C63" s="7"/>
      <c r="D63" s="75"/>
      <c r="E63" s="75"/>
      <c r="F63" s="75"/>
      <c r="G63" s="97"/>
      <c r="H63" s="97"/>
      <c r="I63" s="92"/>
      <c r="J63" s="7"/>
      <c r="K63" s="7"/>
    </row>
    <row r="64" spans="2:11" s="92" customFormat="1" hidden="1">
      <c r="B64" s="75"/>
      <c r="C64" s="75"/>
      <c r="D64" s="75"/>
      <c r="E64" s="75"/>
      <c r="F64" s="75"/>
      <c r="G64" s="97"/>
      <c r="H64" s="97"/>
      <c r="J64" s="75"/>
      <c r="K64" s="75"/>
    </row>
    <row r="65" spans="2:11" s="92" customFormat="1" hidden="1">
      <c r="B65" s="75"/>
      <c r="C65" s="75"/>
      <c r="D65" s="75"/>
      <c r="E65" s="75"/>
      <c r="F65" s="75"/>
      <c r="G65" s="97"/>
      <c r="H65" s="97"/>
      <c r="J65" s="75"/>
      <c r="K65" s="75"/>
    </row>
    <row r="66" spans="2:11" s="92" customFormat="1" hidden="1">
      <c r="B66" s="75"/>
      <c r="C66" s="75"/>
      <c r="D66" s="75"/>
      <c r="E66" s="75"/>
      <c r="F66" s="75"/>
      <c r="G66" s="97"/>
      <c r="H66" s="97"/>
      <c r="J66" s="75"/>
      <c r="K66" s="75"/>
    </row>
    <row r="67" spans="2:11" s="92" customFormat="1" hidden="1">
      <c r="B67" s="75"/>
      <c r="C67" s="75"/>
      <c r="D67" s="75"/>
      <c r="E67" s="75"/>
      <c r="F67" s="75"/>
      <c r="G67" s="97"/>
      <c r="H67" s="97"/>
      <c r="J67" s="75"/>
      <c r="K67" s="75"/>
    </row>
    <row r="68" spans="2:11" s="92" customFormat="1" hidden="1">
      <c r="B68" s="75"/>
      <c r="C68" s="75"/>
      <c r="D68" s="75"/>
      <c r="E68" s="75"/>
      <c r="F68" s="75"/>
      <c r="G68" s="97"/>
      <c r="H68" s="97"/>
      <c r="J68" s="75"/>
      <c r="K68" s="75"/>
    </row>
    <row r="69" spans="2:11" s="92" customFormat="1" hidden="1">
      <c r="B69" s="75"/>
      <c r="C69" s="75"/>
      <c r="D69" s="75"/>
      <c r="E69" s="75"/>
      <c r="F69" s="75"/>
      <c r="G69" s="97"/>
      <c r="H69" s="97"/>
      <c r="J69" s="75"/>
      <c r="K69" s="75"/>
    </row>
    <row r="70" spans="2:11" s="92" customFormat="1" hidden="1">
      <c r="B70" s="75"/>
      <c r="C70" s="75"/>
      <c r="D70" s="75"/>
      <c r="E70" s="75"/>
      <c r="F70" s="75"/>
      <c r="G70" s="97"/>
      <c r="H70" s="97"/>
      <c r="J70" s="75"/>
      <c r="K70" s="75"/>
    </row>
    <row r="71" spans="2:11" s="92" customFormat="1" hidden="1">
      <c r="B71" s="75"/>
      <c r="C71" s="75"/>
      <c r="D71" s="75"/>
      <c r="E71" s="75"/>
      <c r="F71" s="75"/>
      <c r="G71" s="97"/>
      <c r="H71" s="97"/>
      <c r="J71" s="75"/>
      <c r="K71" s="75"/>
    </row>
    <row r="72" spans="2:11" s="92" customFormat="1" hidden="1">
      <c r="B72" s="75"/>
      <c r="C72" s="75"/>
      <c r="D72" s="75"/>
      <c r="E72" s="75"/>
      <c r="F72" s="75"/>
      <c r="G72" s="97"/>
      <c r="H72" s="97"/>
      <c r="J72" s="75"/>
      <c r="K72" s="75"/>
    </row>
    <row r="73" spans="2:11" s="92" customFormat="1" hidden="1">
      <c r="B73" s="75"/>
      <c r="C73" s="75"/>
      <c r="D73" s="75"/>
      <c r="E73" s="75"/>
      <c r="F73" s="75"/>
      <c r="G73" s="97"/>
      <c r="H73" s="97"/>
      <c r="J73" s="75"/>
      <c r="K73" s="75"/>
    </row>
    <row r="74" spans="2:11" s="92" customFormat="1" hidden="1">
      <c r="B74" s="75"/>
      <c r="C74" s="75"/>
      <c r="D74" s="75"/>
      <c r="E74" s="75"/>
      <c r="F74" s="75"/>
      <c r="G74" s="57"/>
      <c r="H74" s="57"/>
      <c r="J74" s="75"/>
      <c r="K74" s="75"/>
    </row>
    <row r="75" spans="2:11" s="92" customFormat="1" hidden="1">
      <c r="B75" s="75"/>
      <c r="C75" s="75"/>
      <c r="D75" s="75"/>
      <c r="E75" s="75"/>
      <c r="F75" s="75"/>
      <c r="G75" s="57"/>
      <c r="H75" s="57"/>
      <c r="J75" s="75"/>
      <c r="K75" s="75"/>
    </row>
    <row r="76" spans="2:11" s="92" customFormat="1" hidden="1">
      <c r="B76" s="75"/>
      <c r="C76" s="75"/>
      <c r="D76" s="75"/>
      <c r="E76" s="75"/>
      <c r="F76" s="75"/>
      <c r="G76" s="57"/>
      <c r="H76" s="57"/>
      <c r="J76" s="75"/>
      <c r="K76" s="75"/>
    </row>
    <row r="77" spans="2:11" s="92" customFormat="1" hidden="1">
      <c r="B77" s="75"/>
      <c r="C77" s="75"/>
      <c r="D77" s="75"/>
      <c r="E77" s="75"/>
      <c r="F77" s="75"/>
      <c r="G77" s="57"/>
      <c r="H77" s="57"/>
      <c r="J77" s="75"/>
      <c r="K77" s="75"/>
    </row>
    <row r="78" spans="2:11" s="92" customFormat="1" hidden="1">
      <c r="B78" s="75"/>
      <c r="C78" s="75"/>
      <c r="D78" s="75"/>
      <c r="E78" s="75"/>
      <c r="F78" s="75"/>
      <c r="G78" s="57"/>
      <c r="H78" s="57"/>
      <c r="J78" s="75"/>
      <c r="K78" s="75"/>
    </row>
    <row r="79" spans="2:11" s="92" customFormat="1" hidden="1">
      <c r="B79" s="75"/>
      <c r="C79" s="75"/>
      <c r="D79" s="75"/>
      <c r="E79" s="75"/>
      <c r="F79" s="75"/>
      <c r="G79" s="57"/>
      <c r="H79" s="57"/>
      <c r="J79" s="75"/>
      <c r="K79" s="75"/>
    </row>
    <row r="80" spans="2:11" s="92" customFormat="1" hidden="1">
      <c r="B80" s="75"/>
      <c r="C80" s="75"/>
      <c r="D80" s="75"/>
      <c r="E80" s="75"/>
      <c r="F80" s="75"/>
      <c r="G80" s="57"/>
      <c r="H80" s="57"/>
      <c r="J80" s="75"/>
      <c r="K80" s="75"/>
    </row>
    <row r="81" spans="2:11" s="92" customFormat="1" hidden="1">
      <c r="B81" s="75"/>
      <c r="C81" s="75"/>
      <c r="D81" s="75"/>
      <c r="E81" s="75"/>
      <c r="F81" s="75"/>
      <c r="G81" s="57"/>
      <c r="H81" s="57"/>
      <c r="J81" s="75"/>
      <c r="K81" s="75"/>
    </row>
    <row r="82" spans="2:11" s="92" customFormat="1" hidden="1">
      <c r="B82" s="75"/>
      <c r="C82" s="75"/>
      <c r="D82" s="75"/>
      <c r="E82" s="75"/>
      <c r="F82" s="75"/>
      <c r="G82" s="57"/>
      <c r="H82" s="57"/>
      <c r="J82" s="75"/>
      <c r="K82" s="75"/>
    </row>
    <row r="83" spans="2:11" s="92" customFormat="1" hidden="1">
      <c r="B83" s="75"/>
      <c r="C83" s="75"/>
      <c r="D83" s="75"/>
      <c r="E83" s="75"/>
      <c r="F83" s="75"/>
      <c r="G83" s="57"/>
      <c r="H83" s="57"/>
      <c r="J83" s="75"/>
      <c r="K83" s="75"/>
    </row>
    <row r="84" spans="2:11" s="92" customFormat="1" hidden="1">
      <c r="B84" s="75"/>
      <c r="C84" s="75"/>
      <c r="D84" s="75"/>
      <c r="E84" s="75"/>
      <c r="F84" s="75"/>
      <c r="G84" s="57"/>
      <c r="H84" s="57"/>
      <c r="J84" s="75"/>
      <c r="K84" s="75"/>
    </row>
    <row r="85" spans="2:11" s="92" customFormat="1" hidden="1">
      <c r="B85" s="75"/>
      <c r="C85" s="75"/>
      <c r="D85" s="75"/>
      <c r="E85" s="75"/>
      <c r="F85" s="75"/>
      <c r="G85" s="57"/>
      <c r="H85" s="57"/>
      <c r="J85" s="75"/>
      <c r="K85" s="75"/>
    </row>
    <row r="86" spans="2:11" s="92" customFormat="1" hidden="1">
      <c r="B86" s="75"/>
      <c r="C86" s="75"/>
      <c r="D86" s="75"/>
      <c r="E86" s="75"/>
      <c r="F86" s="75"/>
      <c r="G86" s="57"/>
      <c r="H86" s="57"/>
      <c r="J86" s="75"/>
      <c r="K86" s="75"/>
    </row>
    <row r="87" spans="2:11" s="92" customFormat="1" hidden="1">
      <c r="B87" s="75"/>
      <c r="C87" s="75"/>
      <c r="D87" s="75"/>
      <c r="E87" s="75"/>
      <c r="F87" s="75"/>
      <c r="G87" s="57"/>
      <c r="H87" s="57"/>
      <c r="J87" s="75"/>
      <c r="K87" s="75"/>
    </row>
    <row r="88" spans="2:11" s="92" customFormat="1" hidden="1">
      <c r="B88" s="75"/>
      <c r="C88" s="75"/>
      <c r="D88" s="75"/>
      <c r="E88" s="75"/>
      <c r="F88" s="75"/>
      <c r="G88" s="57"/>
      <c r="H88" s="57"/>
      <c r="J88" s="75"/>
      <c r="K88" s="75"/>
    </row>
    <row r="89" spans="2:11" s="92" customFormat="1" hidden="1">
      <c r="B89" s="75"/>
      <c r="C89" s="75"/>
      <c r="D89" s="75"/>
      <c r="E89" s="75"/>
      <c r="F89" s="75"/>
      <c r="G89" s="57"/>
      <c r="H89" s="57"/>
      <c r="J89" s="75"/>
      <c r="K89" s="75"/>
    </row>
    <row r="90" spans="2:11" s="92" customFormat="1" hidden="1">
      <c r="B90" s="75"/>
      <c r="C90" s="75"/>
      <c r="D90" s="75"/>
      <c r="E90" s="75"/>
      <c r="F90" s="75"/>
      <c r="G90" s="57"/>
      <c r="H90" s="57"/>
      <c r="J90" s="75"/>
      <c r="K90" s="75"/>
    </row>
    <row r="91" spans="2:11" s="92" customFormat="1" hidden="1">
      <c r="B91" s="75"/>
      <c r="C91" s="75"/>
      <c r="D91" s="75"/>
      <c r="E91" s="75"/>
      <c r="F91" s="75"/>
      <c r="G91" s="57"/>
      <c r="H91" s="57"/>
      <c r="J91" s="75"/>
      <c r="K91" s="75"/>
    </row>
    <row r="92" spans="2:11" s="92" customFormat="1" hidden="1">
      <c r="B92" s="75"/>
      <c r="C92" s="75"/>
      <c r="D92" s="75"/>
      <c r="E92" s="75"/>
      <c r="F92" s="75"/>
      <c r="G92" s="57"/>
      <c r="H92" s="57"/>
      <c r="J92" s="75"/>
      <c r="K92" s="75"/>
    </row>
    <row r="93" spans="2:11" s="92" customFormat="1" hidden="1">
      <c r="B93" s="75"/>
      <c r="C93" s="75"/>
      <c r="D93" s="75"/>
      <c r="E93" s="75"/>
      <c r="F93" s="75"/>
      <c r="G93" s="57"/>
      <c r="H93" s="57"/>
      <c r="J93" s="75"/>
      <c r="K93" s="75"/>
    </row>
    <row r="94" spans="2:11" s="92" customFormat="1" hidden="1">
      <c r="B94" s="75"/>
      <c r="C94" s="75"/>
      <c r="D94" s="75"/>
      <c r="E94" s="75"/>
      <c r="F94" s="75"/>
      <c r="G94" s="57"/>
      <c r="H94" s="57"/>
      <c r="J94" s="75"/>
      <c r="K94" s="75"/>
    </row>
    <row r="95" spans="2:11" s="92" customFormat="1" hidden="1">
      <c r="B95" s="75"/>
      <c r="C95" s="75"/>
      <c r="D95" s="75"/>
      <c r="E95" s="75"/>
      <c r="F95" s="75"/>
      <c r="G95" s="57"/>
      <c r="H95" s="57"/>
      <c r="J95" s="75"/>
      <c r="K95" s="75"/>
    </row>
    <row r="96" spans="2:11" s="92" customFormat="1" hidden="1">
      <c r="B96" s="75"/>
      <c r="C96" s="75"/>
      <c r="D96" s="75"/>
      <c r="E96" s="75"/>
      <c r="F96" s="75"/>
      <c r="G96" s="57"/>
      <c r="H96" s="57"/>
      <c r="J96" s="75"/>
      <c r="K96" s="75"/>
    </row>
    <row r="97" spans="2:11" s="92" customFormat="1" hidden="1">
      <c r="B97" s="75"/>
      <c r="C97" s="75"/>
      <c r="D97" s="75"/>
      <c r="E97" s="75"/>
      <c r="F97" s="75"/>
      <c r="G97" s="57"/>
      <c r="H97" s="57"/>
      <c r="J97" s="75"/>
      <c r="K97" s="75"/>
    </row>
    <row r="98" spans="2:11" s="92" customFormat="1" hidden="1">
      <c r="B98" s="75"/>
      <c r="C98" s="75"/>
      <c r="D98" s="75"/>
      <c r="E98" s="75"/>
      <c r="F98" s="75"/>
      <c r="G98" s="57"/>
      <c r="H98" s="57"/>
      <c r="J98" s="75"/>
      <c r="K98" s="75"/>
    </row>
    <row r="99" spans="2:11" s="92" customFormat="1" hidden="1">
      <c r="B99" s="75"/>
      <c r="C99" s="75"/>
      <c r="D99" s="75"/>
      <c r="E99" s="75"/>
      <c r="F99" s="75"/>
      <c r="G99" s="57"/>
      <c r="H99" s="57"/>
      <c r="J99" s="75"/>
      <c r="K99" s="75"/>
    </row>
    <row r="100" spans="2:11" s="92" customFormat="1" hidden="1">
      <c r="B100" s="75"/>
      <c r="C100" s="75"/>
      <c r="D100" s="75"/>
      <c r="E100" s="75"/>
      <c r="F100" s="75"/>
      <c r="G100" s="57"/>
      <c r="H100" s="57"/>
      <c r="J100" s="75"/>
      <c r="K100" s="75"/>
    </row>
    <row r="101" spans="2:11" s="92" customFormat="1" hidden="1">
      <c r="B101" s="75"/>
      <c r="C101" s="75"/>
      <c r="D101" s="75"/>
      <c r="E101" s="75"/>
      <c r="F101" s="75"/>
      <c r="G101" s="57"/>
      <c r="H101" s="57"/>
      <c r="J101" s="75"/>
      <c r="K101" s="75"/>
    </row>
    <row r="102" spans="2:11" s="92" customFormat="1" hidden="1">
      <c r="B102" s="75"/>
      <c r="C102" s="75"/>
      <c r="D102" s="75"/>
      <c r="E102" s="75"/>
      <c r="F102" s="75"/>
      <c r="G102" s="57"/>
      <c r="H102" s="57"/>
      <c r="J102" s="75"/>
      <c r="K102" s="75"/>
    </row>
    <row r="103" spans="2:11" s="92" customFormat="1" hidden="1">
      <c r="B103" s="75"/>
      <c r="C103" s="75"/>
      <c r="D103" s="75"/>
      <c r="E103" s="75"/>
      <c r="F103" s="75"/>
      <c r="G103" s="57"/>
      <c r="H103" s="57"/>
      <c r="J103" s="75"/>
      <c r="K103" s="75"/>
    </row>
    <row r="104" spans="2:11" s="92" customFormat="1" hidden="1">
      <c r="B104" s="75"/>
      <c r="C104" s="75"/>
      <c r="D104" s="75"/>
      <c r="E104" s="75"/>
      <c r="F104" s="75"/>
      <c r="G104" s="57"/>
      <c r="H104" s="57"/>
      <c r="J104" s="75"/>
      <c r="K104" s="75"/>
    </row>
    <row r="105" spans="2:11" s="92" customFormat="1" hidden="1">
      <c r="B105" s="75"/>
      <c r="C105" s="75"/>
      <c r="D105" s="75"/>
      <c r="E105" s="75"/>
      <c r="F105" s="75"/>
      <c r="G105" s="57"/>
      <c r="H105" s="57"/>
      <c r="J105" s="75"/>
      <c r="K105" s="75"/>
    </row>
    <row r="106" spans="2:11" s="92" customFormat="1" hidden="1">
      <c r="B106" s="75"/>
      <c r="C106" s="75"/>
      <c r="D106" s="75"/>
      <c r="E106" s="75"/>
      <c r="F106" s="75"/>
      <c r="G106" s="57"/>
      <c r="H106" s="57"/>
      <c r="J106" s="75"/>
      <c r="K106" s="75"/>
    </row>
    <row r="107" spans="2:11" s="92" customFormat="1" hidden="1">
      <c r="B107" s="75"/>
      <c r="C107" s="75"/>
      <c r="D107" s="75"/>
      <c r="E107" s="75"/>
      <c r="F107" s="75"/>
      <c r="G107" s="57"/>
      <c r="H107" s="57"/>
      <c r="J107" s="75"/>
      <c r="K107" s="75"/>
    </row>
    <row r="108" spans="2:11" s="92" customFormat="1" hidden="1">
      <c r="B108" s="75"/>
      <c r="C108" s="75"/>
      <c r="D108" s="75"/>
      <c r="E108" s="75"/>
      <c r="F108" s="75"/>
      <c r="G108" s="57"/>
      <c r="H108" s="57"/>
      <c r="J108" s="75"/>
      <c r="K108" s="75"/>
    </row>
    <row r="109" spans="2:11" s="92" customFormat="1" hidden="1">
      <c r="B109" s="75"/>
      <c r="C109" s="75"/>
      <c r="D109" s="75"/>
      <c r="E109" s="75"/>
      <c r="F109" s="75"/>
      <c r="G109" s="57"/>
      <c r="H109" s="57"/>
      <c r="J109" s="75"/>
      <c r="K109" s="75"/>
    </row>
    <row r="110" spans="2:11" s="92" customFormat="1" hidden="1">
      <c r="B110" s="75"/>
      <c r="C110" s="75"/>
      <c r="D110" s="75"/>
      <c r="E110" s="75"/>
      <c r="F110" s="75"/>
      <c r="G110" s="57"/>
      <c r="H110" s="57"/>
      <c r="J110" s="75"/>
      <c r="K110" s="75"/>
    </row>
    <row r="111" spans="2:11" s="92" customFormat="1" hidden="1">
      <c r="B111" s="75"/>
      <c r="C111" s="75"/>
      <c r="D111" s="75"/>
      <c r="E111" s="75"/>
      <c r="F111" s="75"/>
      <c r="G111" s="57"/>
      <c r="H111" s="57"/>
      <c r="J111" s="75"/>
      <c r="K111" s="75"/>
    </row>
    <row r="112" spans="2:11" s="92" customFormat="1" hidden="1">
      <c r="B112" s="75"/>
      <c r="C112" s="75"/>
      <c r="D112" s="75"/>
      <c r="E112" s="75"/>
      <c r="F112" s="75"/>
      <c r="G112" s="57"/>
      <c r="H112" s="57"/>
      <c r="J112" s="75"/>
      <c r="K112" s="75"/>
    </row>
    <row r="113" spans="2:11" s="92" customFormat="1" hidden="1">
      <c r="B113" s="75"/>
      <c r="C113" s="75"/>
      <c r="J113" s="75"/>
      <c r="K113" s="75"/>
    </row>
    <row r="114" spans="2:11" s="92" customFormat="1" hidden="1">
      <c r="B114" s="75"/>
      <c r="C114" s="75"/>
      <c r="D114" s="75"/>
      <c r="E114" s="75"/>
      <c r="F114" s="75"/>
      <c r="G114" s="75"/>
      <c r="H114" s="75"/>
      <c r="J114" s="75"/>
      <c r="K114" s="75"/>
    </row>
    <row r="115" spans="2:11" s="92" customFormat="1" hidden="1">
      <c r="B115" s="75"/>
      <c r="C115" s="75"/>
      <c r="D115" s="75"/>
      <c r="E115" s="75"/>
      <c r="F115" s="75"/>
      <c r="G115" s="75"/>
      <c r="H115" s="75"/>
      <c r="J115" s="75"/>
      <c r="K115" s="75"/>
    </row>
    <row r="116" spans="2:11" s="92" customFormat="1" hidden="1">
      <c r="B116" s="75"/>
      <c r="C116" s="75"/>
      <c r="D116" s="75"/>
      <c r="E116" s="75"/>
      <c r="F116" s="75"/>
      <c r="G116" s="75"/>
      <c r="H116" s="75"/>
      <c r="J116" s="75"/>
      <c r="K116" s="75"/>
    </row>
    <row r="117" spans="2:11" s="92" customFormat="1" hidden="1">
      <c r="B117" s="75"/>
      <c r="C117" s="75"/>
      <c r="D117" s="75"/>
      <c r="E117" s="75"/>
      <c r="F117" s="75"/>
      <c r="G117" s="75"/>
      <c r="H117" s="75"/>
      <c r="J117" s="75"/>
      <c r="K117" s="75"/>
    </row>
    <row r="118" spans="2:11" s="92" customFormat="1" hidden="1">
      <c r="B118" s="75"/>
      <c r="C118" s="75"/>
      <c r="D118" s="75"/>
      <c r="E118" s="75"/>
      <c r="F118" s="75"/>
      <c r="G118" s="75"/>
      <c r="H118" s="75"/>
      <c r="J118" s="75"/>
      <c r="K118" s="75"/>
    </row>
    <row r="119" spans="2:11" s="92" customFormat="1" hidden="1">
      <c r="D119" s="75"/>
      <c r="E119" s="75"/>
      <c r="F119" s="75"/>
      <c r="G119" s="75"/>
      <c r="H119" s="75"/>
    </row>
    <row r="120" spans="2:11" s="92" customFormat="1" hidden="1">
      <c r="B120" s="75"/>
      <c r="C120" s="75"/>
      <c r="D120" s="75"/>
      <c r="E120" s="75"/>
      <c r="F120" s="75"/>
      <c r="G120" s="75"/>
      <c r="H120" s="75"/>
      <c r="J120" s="75"/>
      <c r="K120" s="75"/>
    </row>
    <row r="121" spans="2:11" s="92" customFormat="1" hidden="1">
      <c r="B121" s="75"/>
      <c r="C121" s="75"/>
      <c r="D121" s="75"/>
      <c r="E121" s="75"/>
      <c r="F121" s="75"/>
      <c r="G121" s="75"/>
      <c r="H121" s="75"/>
      <c r="J121" s="75"/>
      <c r="K121" s="75"/>
    </row>
    <row r="122" spans="2:11" s="92" customFormat="1" hidden="1">
      <c r="B122" s="75"/>
      <c r="C122" s="75"/>
      <c r="D122" s="75"/>
      <c r="E122" s="75"/>
      <c r="F122" s="75"/>
      <c r="G122" s="75"/>
      <c r="H122" s="75"/>
      <c r="J122" s="75"/>
      <c r="K122" s="75"/>
    </row>
    <row r="123" spans="2:11" s="92" customFormat="1" hidden="1">
      <c r="B123" s="75"/>
      <c r="C123" s="75"/>
      <c r="D123" s="75"/>
      <c r="E123" s="75"/>
      <c r="F123" s="75"/>
      <c r="G123" s="75"/>
      <c r="H123" s="75"/>
      <c r="J123" s="75"/>
      <c r="K123" s="75"/>
    </row>
    <row r="124" spans="2:11" s="92" customFormat="1" hidden="1">
      <c r="B124" s="75"/>
      <c r="C124" s="75"/>
      <c r="D124" s="75"/>
      <c r="E124" s="75"/>
      <c r="F124" s="75"/>
      <c r="G124" s="75"/>
      <c r="H124" s="75"/>
      <c r="J124" s="75"/>
      <c r="K124" s="75"/>
    </row>
    <row r="125" spans="2:11" s="92" customFormat="1" hidden="1">
      <c r="B125" s="75"/>
      <c r="C125" s="75"/>
      <c r="D125" s="75"/>
      <c r="E125" s="75"/>
      <c r="F125" s="75"/>
      <c r="G125" s="75"/>
      <c r="H125" s="75"/>
      <c r="J125" s="75"/>
      <c r="K125" s="75"/>
    </row>
    <row r="126" spans="2:11" s="75" customFormat="1" hidden="1">
      <c r="I126" s="92"/>
    </row>
    <row r="127" spans="2:11" s="75" customFormat="1" hidden="1">
      <c r="I127" s="92"/>
    </row>
    <row r="128" spans="2:11" s="75" customFormat="1" hidden="1">
      <c r="I128" s="92"/>
    </row>
    <row r="129" spans="9:9" s="75" customFormat="1" hidden="1">
      <c r="I129" s="92"/>
    </row>
    <row r="130" spans="9:9" s="75" customFormat="1" hidden="1">
      <c r="I130" s="92"/>
    </row>
    <row r="131" spans="9:9" s="75" customFormat="1" hidden="1">
      <c r="I131" s="92"/>
    </row>
    <row r="132" spans="9:9" s="75" customFormat="1" hidden="1">
      <c r="I132" s="92"/>
    </row>
    <row r="133" spans="9:9" s="75" customFormat="1" hidden="1">
      <c r="I133" s="92"/>
    </row>
    <row r="134" spans="9:9" s="75" customFormat="1" hidden="1">
      <c r="I134" s="92"/>
    </row>
    <row r="135" spans="9:9" s="75" customFormat="1" hidden="1">
      <c r="I135" s="92"/>
    </row>
    <row r="136" spans="9:9" s="75" customFormat="1" hidden="1">
      <c r="I136" s="92"/>
    </row>
    <row r="137" spans="9:9" s="75" customFormat="1" hidden="1">
      <c r="I137" s="92"/>
    </row>
    <row r="138" spans="9:9" s="75" customFormat="1" hidden="1">
      <c r="I138" s="92"/>
    </row>
    <row r="139" spans="9:9" s="75" customFormat="1" hidden="1">
      <c r="I139" s="92"/>
    </row>
    <row r="140" spans="9:9" s="75" customFormat="1" hidden="1">
      <c r="I140" s="92"/>
    </row>
    <row r="141" spans="9:9" s="75" customFormat="1" hidden="1">
      <c r="I141" s="92"/>
    </row>
    <row r="142" spans="9:9" s="75" customFormat="1" hidden="1">
      <c r="I142" s="92"/>
    </row>
    <row r="143" spans="9:9" s="75" customFormat="1" hidden="1">
      <c r="I143" s="92"/>
    </row>
    <row r="144" spans="9:9" s="75" customFormat="1" hidden="1">
      <c r="I144" s="92"/>
    </row>
    <row r="145" spans="9:9" s="75" customFormat="1" hidden="1">
      <c r="I145" s="92"/>
    </row>
  </sheetData>
  <mergeCells count="1">
    <mergeCell ref="E3:F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12"/>
  <sheetViews>
    <sheetView showGridLines="0" zoomScale="110" zoomScaleNormal="110" workbookViewId="0">
      <selection activeCell="D2" sqref="D2"/>
    </sheetView>
  </sheetViews>
  <sheetFormatPr defaultColWidth="0" defaultRowHeight="12.75" zeroHeight="1"/>
  <cols>
    <col min="1" max="1" width="3.7109375" style="235" customWidth="1"/>
    <col min="2" max="3" width="2.7109375" style="138" customWidth="1"/>
    <col min="4" max="4" width="60.7109375" style="138" customWidth="1"/>
    <col min="5" max="8" width="7.7109375" style="138" customWidth="1"/>
    <col min="9" max="9" width="3.7109375" style="235" customWidth="1"/>
    <col min="10" max="13" width="0" style="138" hidden="1" customWidth="1"/>
    <col min="14" max="16384" width="9.140625" style="138" hidden="1"/>
  </cols>
  <sheetData>
    <row r="1" spans="2:8" s="235" customFormat="1"/>
    <row r="2" spans="2:8" s="235" customFormat="1" ht="23.25">
      <c r="B2" s="354" t="str">
        <f>Company_Name</f>
        <v>BorgWarner Inc. (BWA)</v>
      </c>
      <c r="C2" s="236"/>
      <c r="D2" s="236"/>
      <c r="E2" s="236"/>
      <c r="F2" s="236"/>
      <c r="G2" s="236"/>
      <c r="H2" s="236"/>
    </row>
    <row r="3" spans="2:8" s="235" customFormat="1">
      <c r="B3" s="236" t="s">
        <v>229</v>
      </c>
      <c r="C3" s="236"/>
      <c r="D3" s="236"/>
      <c r="E3" s="330" t="s">
        <v>3</v>
      </c>
      <c r="F3" s="330"/>
      <c r="G3" s="236"/>
      <c r="H3" s="236"/>
    </row>
    <row r="4" spans="2:8" s="235" customFormat="1">
      <c r="B4" s="353" t="str">
        <f>Currency</f>
        <v>(expressed in millions)</v>
      </c>
      <c r="C4" s="236"/>
      <c r="D4" s="236"/>
      <c r="E4" s="237">
        <f>EDATE(F4,-12)</f>
        <v>43435</v>
      </c>
      <c r="F4" s="237">
        <f>LHY</f>
        <v>43800</v>
      </c>
      <c r="G4" s="238">
        <f>EDATE(F4,12)</f>
        <v>44166</v>
      </c>
      <c r="H4" s="238">
        <f t="shared" ref="H4" si="0">EDATE(G4,12)</f>
        <v>44531</v>
      </c>
    </row>
    <row r="5" spans="2:8" s="235" customFormat="1">
      <c r="B5" s="138"/>
      <c r="C5" s="138"/>
      <c r="D5" s="138"/>
      <c r="E5" s="138"/>
      <c r="F5" s="138"/>
      <c r="G5" s="145"/>
      <c r="H5" s="145"/>
    </row>
    <row r="6" spans="2:8" s="235" customFormat="1">
      <c r="B6" s="138"/>
      <c r="C6" s="138"/>
      <c r="D6" s="239" t="s">
        <v>30</v>
      </c>
      <c r="E6" s="240"/>
      <c r="F6" s="240"/>
      <c r="G6" s="241"/>
      <c r="H6" s="241"/>
    </row>
    <row r="7" spans="2:8" s="235" customFormat="1">
      <c r="B7" s="138"/>
      <c r="C7" s="138"/>
      <c r="D7" s="242" t="s">
        <v>16</v>
      </c>
      <c r="E7" s="243">
        <f>[1]IS1!C19</f>
        <v>985</v>
      </c>
      <c r="F7" s="243">
        <f>[1]IS1!D19</f>
        <v>797</v>
      </c>
      <c r="G7" s="244">
        <f>'INCOME STATEMENT'!S23</f>
        <v>851.82576440285709</v>
      </c>
      <c r="H7" s="244">
        <f>'INCOME STATEMENT'!X23</f>
        <v>903.86334337412973</v>
      </c>
    </row>
    <row r="8" spans="2:8" s="235" customFormat="1">
      <c r="B8" s="138"/>
      <c r="C8" s="138"/>
      <c r="D8" s="245" t="s">
        <v>31</v>
      </c>
      <c r="E8" s="243"/>
      <c r="F8" s="243"/>
      <c r="G8" s="247"/>
      <c r="H8" s="247"/>
    </row>
    <row r="9" spans="2:8" s="235" customFormat="1">
      <c r="B9" s="138"/>
      <c r="C9" s="138"/>
      <c r="D9" s="245" t="s">
        <v>152</v>
      </c>
      <c r="E9" s="243"/>
      <c r="F9" s="243"/>
      <c r="G9" s="247"/>
      <c r="H9" s="247"/>
    </row>
    <row r="10" spans="2:8" s="235" customFormat="1">
      <c r="B10" s="138"/>
      <c r="C10" s="138"/>
      <c r="D10" s="242" t="s">
        <v>33</v>
      </c>
      <c r="E10" s="243">
        <v>431</v>
      </c>
      <c r="F10" s="243">
        <v>439</v>
      </c>
      <c r="G10" s="247">
        <f>FAM!G42</f>
        <v>59.338296344909956</v>
      </c>
      <c r="H10" s="247">
        <f>FAM!H42</f>
        <v>48.363154293443799</v>
      </c>
    </row>
    <row r="11" spans="2:8" s="235" customFormat="1">
      <c r="B11" s="138"/>
      <c r="C11" s="138"/>
      <c r="D11" s="242" t="s">
        <v>153</v>
      </c>
      <c r="E11" s="243">
        <v>-57</v>
      </c>
      <c r="F11" s="243">
        <v>186</v>
      </c>
      <c r="G11" s="247"/>
      <c r="H11" s="247"/>
    </row>
    <row r="12" spans="2:8" s="235" customFormat="1">
      <c r="B12" s="138"/>
      <c r="C12" s="138"/>
      <c r="D12" s="242" t="s">
        <v>35</v>
      </c>
      <c r="E12" s="243">
        <v>53</v>
      </c>
      <c r="F12" s="243">
        <v>42</v>
      </c>
      <c r="G12" s="247"/>
      <c r="H12" s="247"/>
    </row>
    <row r="13" spans="2:8" s="235" customFormat="1">
      <c r="B13" s="138"/>
      <c r="C13" s="138"/>
      <c r="D13" s="242" t="s">
        <v>36</v>
      </c>
      <c r="E13" s="243">
        <v>33</v>
      </c>
      <c r="F13" s="243">
        <v>30</v>
      </c>
      <c r="G13" s="247"/>
      <c r="H13" s="247"/>
    </row>
    <row r="14" spans="2:8" s="235" customFormat="1">
      <c r="B14" s="138"/>
      <c r="C14" s="138"/>
      <c r="D14" s="242" t="s">
        <v>37</v>
      </c>
      <c r="E14" s="243" t="s">
        <v>14</v>
      </c>
      <c r="F14" s="243">
        <v>27</v>
      </c>
      <c r="G14" s="247"/>
      <c r="H14" s="247"/>
    </row>
    <row r="15" spans="2:8" s="235" customFormat="1">
      <c r="B15" s="138"/>
      <c r="C15" s="138"/>
      <c r="D15" s="242" t="s">
        <v>38</v>
      </c>
      <c r="E15" s="243">
        <v>-13</v>
      </c>
      <c r="F15" s="243">
        <v>16</v>
      </c>
      <c r="G15" s="247"/>
      <c r="H15" s="247"/>
    </row>
    <row r="16" spans="2:8" s="235" customFormat="1">
      <c r="B16" s="138"/>
      <c r="C16" s="138"/>
      <c r="D16" s="242" t="s">
        <v>39</v>
      </c>
      <c r="E16" s="243">
        <v>26</v>
      </c>
      <c r="F16" s="243">
        <v>7</v>
      </c>
      <c r="G16" s="247"/>
      <c r="H16" s="247"/>
    </row>
    <row r="17" spans="1:9" s="235" customFormat="1">
      <c r="B17" s="138"/>
      <c r="C17" s="138"/>
      <c r="D17" s="242" t="s">
        <v>40</v>
      </c>
      <c r="E17" s="243" t="s">
        <v>14</v>
      </c>
      <c r="F17" s="243">
        <v>-177</v>
      </c>
      <c r="G17" s="247"/>
      <c r="H17" s="247"/>
    </row>
    <row r="18" spans="1:9" s="235" customFormat="1">
      <c r="B18" s="138"/>
      <c r="C18" s="138"/>
      <c r="D18" s="242" t="s">
        <v>41</v>
      </c>
      <c r="E18" s="243">
        <v>-12</v>
      </c>
      <c r="F18" s="243" t="s">
        <v>14</v>
      </c>
      <c r="G18" s="247"/>
      <c r="H18" s="247"/>
    </row>
    <row r="19" spans="1:9" s="235" customFormat="1">
      <c r="B19" s="138"/>
      <c r="C19" s="138"/>
      <c r="D19" s="250" t="s">
        <v>42</v>
      </c>
      <c r="E19" s="263">
        <v>1446</v>
      </c>
      <c r="F19" s="263">
        <v>1367</v>
      </c>
      <c r="G19" s="251">
        <f>SUM(G7,G10:G18)</f>
        <v>911.16406074776705</v>
      </c>
      <c r="H19" s="251">
        <f t="shared" ref="H19" si="1">SUM(H7,H10:H18)</f>
        <v>952.22649766757354</v>
      </c>
    </row>
    <row r="20" spans="1:9" s="235" customFormat="1">
      <c r="B20" s="138"/>
      <c r="C20" s="138"/>
      <c r="D20" s="242" t="s">
        <v>43</v>
      </c>
      <c r="E20" s="243" t="s">
        <v>14</v>
      </c>
      <c r="F20" s="243">
        <v>-172</v>
      </c>
      <c r="G20" s="247"/>
      <c r="H20" s="247"/>
    </row>
    <row r="21" spans="1:9" s="235" customFormat="1">
      <c r="B21" s="138"/>
      <c r="C21" s="138"/>
      <c r="D21" s="245" t="s">
        <v>44</v>
      </c>
      <c r="E21" s="243"/>
      <c r="F21" s="243"/>
      <c r="G21" s="247"/>
      <c r="H21" s="247"/>
    </row>
    <row r="22" spans="1:9" s="246" customFormat="1">
      <c r="A22" s="235"/>
      <c r="B22" s="160"/>
      <c r="C22" s="160"/>
      <c r="D22" s="242" t="s">
        <v>45</v>
      </c>
      <c r="E22" s="243">
        <v>-43</v>
      </c>
      <c r="F22" s="243">
        <v>19</v>
      </c>
      <c r="G22" s="247">
        <f>'BALANCE SHEET'!F10-'BALANCE SHEET'!G10</f>
        <v>28.735651062155512</v>
      </c>
      <c r="H22" s="247">
        <f>'BALANCE SHEET'!G10-'BALANCE SHEET'!H10</f>
        <v>-9.7051496951216905</v>
      </c>
      <c r="I22" s="235"/>
    </row>
    <row r="23" spans="1:9" s="235" customFormat="1">
      <c r="B23" s="138"/>
      <c r="C23" s="138"/>
      <c r="D23" s="248" t="s">
        <v>46</v>
      </c>
      <c r="E23" s="243">
        <v>-53</v>
      </c>
      <c r="F23" s="243">
        <v>-36</v>
      </c>
      <c r="G23" s="247">
        <f>'BALANCE SHEET'!F11-'BALANCE SHEET'!G11</f>
        <v>37.878420465067279</v>
      </c>
      <c r="H23" s="247">
        <f>'BALANCE SHEET'!G11-'BALANCE SHEET'!H11</f>
        <v>582.39029490402777</v>
      </c>
    </row>
    <row r="24" spans="1:9" s="235" customFormat="1">
      <c r="B24" s="138"/>
      <c r="C24" s="138"/>
      <c r="D24" s="242" t="s">
        <v>47</v>
      </c>
      <c r="E24" s="243">
        <v>-19</v>
      </c>
      <c r="F24" s="243">
        <v>-18</v>
      </c>
      <c r="G24" s="247">
        <f>'BALANCE SHEET'!F12-'BALANCE SHEET'!G12</f>
        <v>13</v>
      </c>
      <c r="H24" s="247">
        <f>'BALANCE SHEET'!G12-'BALANCE SHEET'!H12</f>
        <v>0</v>
      </c>
    </row>
    <row r="25" spans="1:9" s="235" customFormat="1">
      <c r="B25" s="138"/>
      <c r="C25" s="138"/>
      <c r="D25" s="242" t="s">
        <v>48</v>
      </c>
      <c r="E25" s="243">
        <v>-76</v>
      </c>
      <c r="F25" s="243">
        <v>-123</v>
      </c>
      <c r="G25" s="247">
        <f>'BALANCE SHEET'!G27-'BALANCE SHEET'!F27</f>
        <v>-400.02966683189356</v>
      </c>
      <c r="H25" s="247">
        <f>'BALANCE SHEET'!H27-'BALANCE SHEET'!G27</f>
        <v>-9.8803525048645042</v>
      </c>
    </row>
    <row r="26" spans="1:9" s="235" customFormat="1">
      <c r="B26" s="138"/>
      <c r="C26" s="138"/>
      <c r="D26" s="248" t="s">
        <v>154</v>
      </c>
      <c r="E26" s="243">
        <v>-85</v>
      </c>
      <c r="F26" s="243">
        <v>-8</v>
      </c>
      <c r="G26" s="247">
        <f>'BALANCE SHEET'!G28-'BALANCE SHEET'!F28</f>
        <v>-3.5</v>
      </c>
      <c r="H26" s="247">
        <f>'BALANCE SHEET'!H28-'BALANCE SHEET'!G28</f>
        <v>1.75</v>
      </c>
    </row>
    <row r="27" spans="1:9" s="235" customFormat="1">
      <c r="B27" s="138"/>
      <c r="C27" s="138"/>
      <c r="D27" s="248" t="s">
        <v>50</v>
      </c>
      <c r="E27" s="264">
        <v>-44</v>
      </c>
      <c r="F27" s="264">
        <v>-21</v>
      </c>
      <c r="G27" s="247"/>
      <c r="H27" s="247"/>
    </row>
    <row r="28" spans="1:9" s="235" customFormat="1">
      <c r="B28" s="138"/>
      <c r="C28" s="138"/>
      <c r="D28" s="252" t="s">
        <v>51</v>
      </c>
      <c r="E28" s="253">
        <v>1126</v>
      </c>
      <c r="F28" s="253">
        <v>1008</v>
      </c>
      <c r="G28" s="254">
        <f t="shared" ref="G28:H28" si="2">SUM(G19:G27)</f>
        <v>587.24846544309628</v>
      </c>
      <c r="H28" s="254">
        <f t="shared" si="2"/>
        <v>1516.7812903716151</v>
      </c>
    </row>
    <row r="29" spans="1:9">
      <c r="D29" s="249"/>
      <c r="E29" s="265"/>
      <c r="F29" s="265"/>
      <c r="G29" s="247"/>
      <c r="H29" s="247"/>
    </row>
    <row r="30" spans="1:9" s="235" customFormat="1">
      <c r="B30" s="138"/>
      <c r="C30" s="138"/>
      <c r="D30" s="245" t="s">
        <v>52</v>
      </c>
      <c r="E30" s="243"/>
      <c r="F30" s="243"/>
      <c r="G30" s="247"/>
      <c r="H30" s="247"/>
    </row>
    <row r="31" spans="1:9" s="235" customFormat="1">
      <c r="B31" s="138"/>
      <c r="C31" s="138"/>
      <c r="D31" s="248" t="s">
        <v>53</v>
      </c>
      <c r="E31" s="243">
        <v>-546</v>
      </c>
      <c r="F31" s="243">
        <v>-481</v>
      </c>
      <c r="G31" s="247">
        <f>-FAM!G38</f>
        <v>-7.4741803138251726</v>
      </c>
      <c r="H31" s="247">
        <f>-FAM!H38</f>
        <v>-19.165397758647885</v>
      </c>
    </row>
    <row r="32" spans="1:9" s="235" customFormat="1">
      <c r="B32" s="138"/>
      <c r="C32" s="138"/>
      <c r="D32" s="242" t="s">
        <v>155</v>
      </c>
      <c r="E32" s="243">
        <v>-6</v>
      </c>
      <c r="F32" s="243">
        <v>-53</v>
      </c>
      <c r="G32" s="247">
        <f>'BALANCE SHEET'!F17-'BALANCE SHEET'!G17</f>
        <v>-137</v>
      </c>
      <c r="H32" s="247">
        <f>'BALANCE SHEET'!G17-'BALANCE SHEET'!H17</f>
        <v>68.5</v>
      </c>
    </row>
    <row r="33" spans="1:11" s="246" customFormat="1">
      <c r="A33" s="235"/>
      <c r="B33" s="160"/>
      <c r="C33" s="160"/>
      <c r="D33" s="242" t="s">
        <v>156</v>
      </c>
      <c r="E33" s="243" t="s">
        <v>14</v>
      </c>
      <c r="F33" s="243">
        <v>-10</v>
      </c>
      <c r="G33" s="247">
        <f>SUM('BALANCE SHEET'!F18:F20)-SUM('BALANCE SHEET'!G18:G20)</f>
        <v>0</v>
      </c>
      <c r="H33" s="247">
        <f>SUM('BALANCE SHEET'!G18:G20)-SUM('BALANCE SHEET'!H18:H20)</f>
        <v>0</v>
      </c>
      <c r="I33" s="235"/>
    </row>
    <row r="34" spans="1:11" s="235" customFormat="1">
      <c r="B34" s="138"/>
      <c r="C34" s="138"/>
      <c r="D34" s="242" t="s">
        <v>157</v>
      </c>
      <c r="E34" s="243" t="s">
        <v>14</v>
      </c>
      <c r="F34" s="243">
        <v>24</v>
      </c>
      <c r="G34" s="247"/>
      <c r="H34" s="247"/>
      <c r="J34" s="138"/>
      <c r="K34" s="138"/>
    </row>
    <row r="35" spans="1:11">
      <c r="D35" s="242" t="s">
        <v>158</v>
      </c>
      <c r="E35" s="243">
        <v>2</v>
      </c>
      <c r="F35" s="243">
        <v>22</v>
      </c>
      <c r="G35" s="247"/>
      <c r="H35" s="247"/>
    </row>
    <row r="36" spans="1:11">
      <c r="D36" s="242" t="s">
        <v>58</v>
      </c>
      <c r="E36" s="243">
        <v>36</v>
      </c>
      <c r="F36" s="243">
        <v>9</v>
      </c>
      <c r="G36" s="247"/>
      <c r="H36" s="247"/>
    </row>
    <row r="37" spans="1:11">
      <c r="D37" s="255" t="s">
        <v>59</v>
      </c>
      <c r="E37" s="253">
        <v>-514</v>
      </c>
      <c r="F37" s="253">
        <v>-489</v>
      </c>
      <c r="G37" s="254">
        <f t="shared" ref="G37:H37" si="3">SUM(G31:G36)</f>
        <v>-144.47418031382517</v>
      </c>
      <c r="H37" s="254">
        <f t="shared" si="3"/>
        <v>49.334602241352115</v>
      </c>
    </row>
    <row r="38" spans="1:11">
      <c r="D38" s="249"/>
      <c r="E38" s="265"/>
      <c r="F38" s="265"/>
      <c r="G38" s="247"/>
      <c r="H38" s="247"/>
    </row>
    <row r="39" spans="1:11">
      <c r="D39" s="245" t="s">
        <v>60</v>
      </c>
      <c r="E39" s="243"/>
      <c r="F39" s="243"/>
      <c r="G39" s="247"/>
      <c r="H39" s="247"/>
    </row>
    <row r="40" spans="1:11">
      <c r="D40" s="242" t="s">
        <v>159</v>
      </c>
      <c r="E40" s="243">
        <v>-34</v>
      </c>
      <c r="F40" s="243" t="s">
        <v>14</v>
      </c>
      <c r="G40" s="247">
        <f>'BALANCE SHEET'!G26-'BALANCE SHEET'!F26</f>
        <v>-56.5</v>
      </c>
      <c r="H40" s="247">
        <f>'BALANCE SHEET'!H26-'BALANCE SHEET'!G26</f>
        <v>28.25</v>
      </c>
    </row>
    <row r="41" spans="1:11">
      <c r="D41" s="242" t="s">
        <v>160</v>
      </c>
      <c r="E41" s="243">
        <v>59</v>
      </c>
      <c r="F41" s="243">
        <v>63</v>
      </c>
      <c r="G41" s="247">
        <f>'BALANCE SHEET'!G35-'BALANCE SHEET'!F35</f>
        <v>-96</v>
      </c>
      <c r="H41" s="247">
        <f>'BALANCE SHEET'!H35-'BALANCE SHEET'!G35</f>
        <v>48</v>
      </c>
    </row>
    <row r="42" spans="1:11">
      <c r="D42" s="248" t="s">
        <v>161</v>
      </c>
      <c r="E42" s="243">
        <v>-66</v>
      </c>
      <c r="F42" s="243">
        <v>-204</v>
      </c>
      <c r="G42" s="247">
        <f>'BALANCE SHEET'!G31-'BALANCE SHEET'!F31</f>
        <v>55.808188909896899</v>
      </c>
      <c r="H42" s="247">
        <f>'BALANCE SHEET'!H31-'BALANCE SHEET'!G31</f>
        <v>-41.132174951834031</v>
      </c>
    </row>
    <row r="43" spans="1:11" s="246" customFormat="1">
      <c r="A43" s="235"/>
      <c r="B43" s="160"/>
      <c r="C43" s="160"/>
      <c r="D43" s="242" t="s">
        <v>162</v>
      </c>
      <c r="E43" s="243" t="s">
        <v>14</v>
      </c>
      <c r="F43" s="243" t="s">
        <v>14</v>
      </c>
      <c r="G43" s="247"/>
      <c r="H43" s="247"/>
      <c r="I43" s="235"/>
    </row>
    <row r="44" spans="1:11">
      <c r="D44" s="248" t="s">
        <v>64</v>
      </c>
      <c r="E44" s="243">
        <v>-150</v>
      </c>
      <c r="F44" s="243">
        <v>-100</v>
      </c>
      <c r="G44" s="247"/>
      <c r="H44" s="247"/>
    </row>
    <row r="45" spans="1:11">
      <c r="D45" s="248" t="s">
        <v>65</v>
      </c>
      <c r="E45" s="243">
        <v>-15</v>
      </c>
      <c r="F45" s="243">
        <v>-15</v>
      </c>
      <c r="G45" s="247">
        <f>'BALANCE SHEET'!G34-'BALANCE SHEET'!F34</f>
        <v>9.1800000000000068</v>
      </c>
      <c r="H45" s="247">
        <f>'BALANCE SHEET'!H34-'BALANCE SHEET'!G34</f>
        <v>9.4553999999999974</v>
      </c>
    </row>
    <row r="46" spans="1:11" s="246" customFormat="1">
      <c r="A46" s="235"/>
      <c r="B46" s="160"/>
      <c r="C46" s="160"/>
      <c r="D46" s="242" t="s">
        <v>163</v>
      </c>
      <c r="E46" s="243" t="s">
        <v>14</v>
      </c>
      <c r="F46" s="243">
        <v>4</v>
      </c>
      <c r="G46" s="247"/>
      <c r="H46" s="247"/>
      <c r="I46" s="235"/>
    </row>
    <row r="47" spans="1:11" s="246" customFormat="1">
      <c r="A47" s="235"/>
      <c r="B47" s="160"/>
      <c r="C47" s="160"/>
      <c r="D47" s="248" t="s">
        <v>66</v>
      </c>
      <c r="E47" s="243">
        <v>-142</v>
      </c>
      <c r="F47" s="243">
        <v>-140</v>
      </c>
      <c r="G47" s="247"/>
      <c r="H47" s="247"/>
      <c r="I47" s="235"/>
    </row>
    <row r="48" spans="1:11" s="246" customFormat="1">
      <c r="A48" s="235"/>
      <c r="B48" s="160"/>
      <c r="C48" s="160"/>
      <c r="D48" s="248" t="s">
        <v>67</v>
      </c>
      <c r="E48" s="264">
        <v>-35</v>
      </c>
      <c r="F48" s="264">
        <v>-28</v>
      </c>
      <c r="G48" s="247"/>
      <c r="H48" s="247"/>
      <c r="I48" s="235"/>
    </row>
    <row r="49" spans="2:11" s="235" customFormat="1">
      <c r="B49" s="138"/>
      <c r="C49" s="138"/>
      <c r="D49" s="255" t="s">
        <v>68</v>
      </c>
      <c r="E49" s="253">
        <v>-383</v>
      </c>
      <c r="F49" s="253">
        <v>-420</v>
      </c>
      <c r="G49" s="254">
        <f t="shared" ref="G49:H49" si="4">SUM(G40:G48)</f>
        <v>-87.511811090103095</v>
      </c>
      <c r="H49" s="254">
        <f t="shared" si="4"/>
        <v>44.573225048165966</v>
      </c>
      <c r="J49" s="138"/>
      <c r="K49" s="138"/>
    </row>
    <row r="50" spans="2:11">
      <c r="D50" s="249"/>
      <c r="E50" s="265"/>
      <c r="F50" s="265"/>
      <c r="G50" s="247"/>
      <c r="H50" s="247"/>
    </row>
    <row r="51" spans="2:11" s="235" customFormat="1">
      <c r="B51" s="138"/>
      <c r="C51" s="138"/>
      <c r="D51" s="242" t="s">
        <v>69</v>
      </c>
      <c r="E51" s="243">
        <v>-35</v>
      </c>
      <c r="F51" s="243">
        <v>-6</v>
      </c>
      <c r="G51" s="247"/>
      <c r="H51" s="247"/>
      <c r="J51" s="138"/>
      <c r="K51" s="138"/>
    </row>
    <row r="52" spans="2:11" s="235" customFormat="1">
      <c r="B52" s="138"/>
      <c r="C52" s="138"/>
      <c r="D52" s="252" t="s">
        <v>164</v>
      </c>
      <c r="E52" s="253">
        <v>194</v>
      </c>
      <c r="F52" s="253">
        <v>93</v>
      </c>
      <c r="G52" s="254">
        <f t="shared" ref="G52:H52" si="5">G28+G37+G49+G51</f>
        <v>355.26247403916801</v>
      </c>
      <c r="H52" s="254">
        <f t="shared" si="5"/>
        <v>1610.6891176611332</v>
      </c>
      <c r="J52" s="138"/>
      <c r="K52" s="138"/>
    </row>
    <row r="53" spans="2:11" s="235" customFormat="1" ht="13.5" thickBot="1">
      <c r="B53" s="138"/>
      <c r="C53" s="138"/>
      <c r="D53" s="242" t="s">
        <v>165</v>
      </c>
      <c r="E53" s="243">
        <v>545</v>
      </c>
      <c r="F53" s="243">
        <v>739</v>
      </c>
      <c r="G53" s="143">
        <f>F54</f>
        <v>832</v>
      </c>
      <c r="H53" s="143">
        <f>G54</f>
        <v>1187.262474039168</v>
      </c>
      <c r="J53" s="138"/>
      <c r="K53" s="138"/>
    </row>
    <row r="54" spans="2:11" s="235" customFormat="1" ht="13.5" thickBot="1">
      <c r="B54" s="138"/>
      <c r="C54" s="138"/>
      <c r="D54" s="256" t="s">
        <v>166</v>
      </c>
      <c r="E54" s="266">
        <v>739</v>
      </c>
      <c r="F54" s="266">
        <v>832</v>
      </c>
      <c r="G54" s="173">
        <f t="shared" ref="G54:H54" si="6">SUM(G52:G53)</f>
        <v>1187.262474039168</v>
      </c>
      <c r="H54" s="175">
        <f t="shared" si="6"/>
        <v>2797.9515917003009</v>
      </c>
      <c r="J54" s="138"/>
      <c r="K54" s="138"/>
    </row>
    <row r="55" spans="2:11" s="235" customFormat="1">
      <c r="B55" s="138"/>
      <c r="C55" s="138"/>
      <c r="D55" s="249"/>
      <c r="E55" s="249"/>
      <c r="F55" s="249"/>
      <c r="G55" s="145"/>
      <c r="H55" s="145"/>
      <c r="J55" s="138"/>
      <c r="K55" s="138"/>
    </row>
    <row r="56" spans="2:11" s="235" customFormat="1">
      <c r="B56" s="138"/>
      <c r="C56" s="138"/>
      <c r="D56" s="138"/>
      <c r="E56" s="138"/>
      <c r="F56" s="138"/>
      <c r="G56" s="145"/>
      <c r="H56" s="145"/>
      <c r="J56" s="138"/>
      <c r="K56" s="138"/>
    </row>
    <row r="57" spans="2:11" s="235" customFormat="1">
      <c r="B57" s="138"/>
      <c r="C57" s="138"/>
      <c r="D57" s="138"/>
      <c r="E57" s="138"/>
      <c r="F57" s="138"/>
      <c r="G57" s="145"/>
      <c r="H57" s="145"/>
      <c r="J57" s="138"/>
      <c r="K57" s="138"/>
    </row>
    <row r="58" spans="2:11" s="235" customFormat="1">
      <c r="J58" s="138"/>
      <c r="K58" s="138"/>
    </row>
    <row r="59" spans="2:11" s="235" customFormat="1" hidden="1">
      <c r="B59" s="138"/>
      <c r="C59" s="138"/>
      <c r="D59" s="138"/>
      <c r="E59" s="138"/>
      <c r="F59" s="138"/>
      <c r="G59" s="145"/>
      <c r="H59" s="145"/>
      <c r="J59" s="138"/>
      <c r="K59" s="138"/>
    </row>
    <row r="60" spans="2:11" s="235" customFormat="1" hidden="1">
      <c r="B60" s="138"/>
      <c r="C60" s="138"/>
      <c r="D60" s="138"/>
      <c r="E60" s="138"/>
      <c r="F60" s="138"/>
      <c r="G60" s="145"/>
      <c r="H60" s="145"/>
      <c r="J60" s="138"/>
      <c r="K60" s="138"/>
    </row>
    <row r="61" spans="2:11" s="235" customFormat="1" hidden="1">
      <c r="B61" s="138"/>
      <c r="C61" s="138"/>
      <c r="D61" s="138"/>
      <c r="E61" s="138"/>
      <c r="F61" s="138"/>
      <c r="G61" s="145"/>
      <c r="H61" s="145"/>
      <c r="J61" s="138"/>
      <c r="K61" s="138"/>
    </row>
    <row r="62" spans="2:11" s="235" customFormat="1" hidden="1">
      <c r="B62" s="138"/>
      <c r="C62" s="138"/>
      <c r="D62" s="138"/>
      <c r="E62" s="138"/>
      <c r="F62" s="138"/>
      <c r="G62" s="145"/>
      <c r="H62" s="145"/>
      <c r="J62" s="138"/>
      <c r="K62" s="138"/>
    </row>
    <row r="63" spans="2:11" s="235" customFormat="1" hidden="1">
      <c r="B63" s="138"/>
      <c r="C63" s="138"/>
      <c r="D63" s="138"/>
      <c r="E63" s="138"/>
      <c r="F63" s="138"/>
      <c r="G63" s="145"/>
      <c r="H63" s="145"/>
      <c r="J63" s="138"/>
      <c r="K63" s="138"/>
    </row>
    <row r="64" spans="2:11" s="235" customFormat="1" hidden="1">
      <c r="B64" s="138"/>
      <c r="C64" s="138"/>
      <c r="D64" s="138"/>
      <c r="E64" s="138"/>
      <c r="F64" s="138"/>
      <c r="G64" s="145"/>
      <c r="H64" s="145"/>
      <c r="J64" s="138"/>
      <c r="K64" s="138"/>
    </row>
    <row r="65" spans="2:11" s="235" customFormat="1" hidden="1">
      <c r="B65" s="138"/>
      <c r="C65" s="138"/>
      <c r="D65" s="138"/>
      <c r="E65" s="138"/>
      <c r="F65" s="138"/>
      <c r="G65" s="145"/>
      <c r="H65" s="145"/>
      <c r="J65" s="138"/>
      <c r="K65" s="138"/>
    </row>
    <row r="66" spans="2:11" s="235" customFormat="1" hidden="1">
      <c r="B66" s="138"/>
      <c r="C66" s="138"/>
      <c r="D66" s="138"/>
      <c r="E66" s="138"/>
      <c r="F66" s="138"/>
      <c r="G66" s="145"/>
      <c r="H66" s="145"/>
      <c r="J66" s="138"/>
      <c r="K66" s="138"/>
    </row>
    <row r="67" spans="2:11" s="235" customFormat="1" hidden="1">
      <c r="B67" s="138"/>
      <c r="C67" s="138"/>
      <c r="D67" s="138"/>
      <c r="E67" s="138"/>
      <c r="F67" s="138"/>
      <c r="G67" s="145"/>
      <c r="H67" s="145"/>
      <c r="J67" s="138"/>
      <c r="K67" s="138"/>
    </row>
    <row r="68" spans="2:11" s="235" customFormat="1" hidden="1">
      <c r="B68" s="138"/>
      <c r="C68" s="138"/>
      <c r="D68" s="138"/>
      <c r="E68" s="138"/>
      <c r="F68" s="138"/>
      <c r="G68" s="145"/>
      <c r="H68" s="145"/>
      <c r="J68" s="138"/>
      <c r="K68" s="138"/>
    </row>
    <row r="69" spans="2:11" s="235" customFormat="1" hidden="1">
      <c r="B69" s="138"/>
      <c r="C69" s="138"/>
      <c r="D69" s="138"/>
      <c r="E69" s="138"/>
      <c r="F69" s="138"/>
      <c r="G69" s="145"/>
      <c r="H69" s="145"/>
      <c r="J69" s="138"/>
      <c r="K69" s="138"/>
    </row>
    <row r="70" spans="2:11" s="235" customFormat="1" hidden="1">
      <c r="B70" s="138"/>
      <c r="C70" s="138"/>
      <c r="D70" s="138"/>
      <c r="E70" s="138"/>
      <c r="F70" s="138"/>
      <c r="G70" s="145"/>
      <c r="H70" s="145"/>
      <c r="J70" s="138"/>
      <c r="K70" s="138"/>
    </row>
    <row r="71" spans="2:11" s="235" customFormat="1" hidden="1">
      <c r="B71" s="138"/>
      <c r="C71" s="138"/>
      <c r="D71" s="138"/>
      <c r="E71" s="138"/>
      <c r="F71" s="138"/>
      <c r="G71" s="145"/>
      <c r="H71" s="145"/>
      <c r="J71" s="138"/>
      <c r="K71" s="138"/>
    </row>
    <row r="72" spans="2:11" s="235" customFormat="1" hidden="1">
      <c r="B72" s="138"/>
      <c r="C72" s="138"/>
      <c r="D72" s="138"/>
      <c r="E72" s="138"/>
      <c r="F72" s="138"/>
      <c r="G72" s="145"/>
      <c r="H72" s="145"/>
      <c r="J72" s="138"/>
      <c r="K72" s="138"/>
    </row>
    <row r="73" spans="2:11" s="235" customFormat="1" hidden="1">
      <c r="B73" s="138"/>
      <c r="C73" s="138"/>
      <c r="D73" s="138"/>
      <c r="E73" s="138"/>
      <c r="F73" s="138"/>
      <c r="G73" s="145"/>
      <c r="H73" s="145"/>
      <c r="J73" s="138"/>
      <c r="K73" s="138"/>
    </row>
    <row r="74" spans="2:11" s="235" customFormat="1" hidden="1">
      <c r="B74" s="138"/>
      <c r="C74" s="138"/>
      <c r="D74" s="138"/>
      <c r="E74" s="138"/>
      <c r="F74" s="138"/>
      <c r="G74" s="145"/>
      <c r="H74" s="145"/>
      <c r="J74" s="138"/>
      <c r="K74" s="138"/>
    </row>
    <row r="75" spans="2:11" s="235" customFormat="1" hidden="1">
      <c r="B75" s="138"/>
      <c r="C75" s="138"/>
      <c r="D75" s="138"/>
      <c r="E75" s="138"/>
      <c r="F75" s="138"/>
      <c r="G75" s="145"/>
      <c r="H75" s="145"/>
      <c r="J75" s="138"/>
      <c r="K75" s="138"/>
    </row>
    <row r="76" spans="2:11" s="235" customFormat="1" hidden="1">
      <c r="B76" s="138"/>
      <c r="C76" s="138"/>
      <c r="D76" s="138"/>
      <c r="E76" s="138"/>
      <c r="F76" s="138"/>
      <c r="G76" s="145"/>
      <c r="H76" s="145"/>
      <c r="J76" s="138"/>
      <c r="K76" s="138"/>
    </row>
    <row r="77" spans="2:11" s="235" customFormat="1" hidden="1">
      <c r="B77" s="138"/>
      <c r="C77" s="138"/>
      <c r="D77" s="138"/>
      <c r="E77" s="138"/>
      <c r="F77" s="138"/>
      <c r="G77" s="145"/>
      <c r="H77" s="145"/>
      <c r="J77" s="138"/>
      <c r="K77" s="138"/>
    </row>
    <row r="78" spans="2:11" s="235" customFormat="1" hidden="1">
      <c r="B78" s="138"/>
      <c r="C78" s="138"/>
      <c r="D78" s="138"/>
      <c r="E78" s="138"/>
      <c r="F78" s="138"/>
      <c r="G78" s="145"/>
      <c r="H78" s="145"/>
      <c r="J78" s="138"/>
      <c r="K78" s="138"/>
    </row>
    <row r="79" spans="2:11" s="235" customFormat="1" hidden="1">
      <c r="B79" s="138"/>
      <c r="C79" s="138"/>
      <c r="D79" s="138"/>
      <c r="E79" s="138"/>
      <c r="F79" s="138"/>
      <c r="G79" s="145"/>
      <c r="H79" s="145"/>
      <c r="J79" s="138"/>
      <c r="K79" s="138"/>
    </row>
    <row r="80" spans="2:11" s="235" customFormat="1" hidden="1">
      <c r="B80" s="138"/>
      <c r="C80" s="138"/>
      <c r="D80" s="138"/>
      <c r="E80" s="138"/>
      <c r="F80" s="138"/>
      <c r="G80" s="145"/>
      <c r="H80" s="145"/>
      <c r="J80" s="138"/>
      <c r="K80" s="138"/>
    </row>
    <row r="81" spans="2:11" s="235" customFormat="1" hidden="1">
      <c r="B81" s="138"/>
      <c r="C81" s="138"/>
      <c r="D81" s="138"/>
      <c r="E81" s="138"/>
      <c r="F81" s="138"/>
      <c r="G81" s="145"/>
      <c r="H81" s="145"/>
      <c r="J81" s="138"/>
      <c r="K81" s="138"/>
    </row>
    <row r="82" spans="2:11" s="235" customFormat="1" hidden="1">
      <c r="B82" s="138"/>
      <c r="C82" s="138"/>
      <c r="D82" s="138"/>
      <c r="E82" s="138"/>
      <c r="F82" s="138"/>
      <c r="G82" s="145"/>
      <c r="H82" s="145"/>
      <c r="J82" s="138"/>
      <c r="K82" s="138"/>
    </row>
    <row r="83" spans="2:11" s="235" customFormat="1" hidden="1">
      <c r="B83" s="138"/>
      <c r="C83" s="138"/>
      <c r="D83" s="138"/>
      <c r="E83" s="138"/>
      <c r="F83" s="138"/>
      <c r="G83" s="145"/>
      <c r="H83" s="145"/>
      <c r="J83" s="138"/>
      <c r="K83" s="138"/>
    </row>
    <row r="84" spans="2:11" s="235" customFormat="1" hidden="1">
      <c r="B84" s="138"/>
      <c r="C84" s="138"/>
      <c r="D84" s="138"/>
      <c r="E84" s="138"/>
      <c r="F84" s="138"/>
      <c r="G84" s="145"/>
      <c r="H84" s="145"/>
      <c r="J84" s="138"/>
      <c r="K84" s="138"/>
    </row>
    <row r="85" spans="2:11" s="235" customFormat="1" hidden="1">
      <c r="B85" s="138"/>
      <c r="C85" s="138"/>
      <c r="D85" s="138"/>
      <c r="E85" s="138"/>
      <c r="F85" s="138"/>
      <c r="G85" s="145"/>
      <c r="H85" s="145"/>
      <c r="J85" s="138"/>
      <c r="K85" s="138"/>
    </row>
    <row r="86" spans="2:11" s="235" customFormat="1" hidden="1">
      <c r="B86" s="138"/>
      <c r="C86" s="138"/>
      <c r="D86" s="138"/>
      <c r="E86" s="138"/>
      <c r="F86" s="138"/>
      <c r="G86" s="145"/>
      <c r="H86" s="145"/>
      <c r="J86" s="138"/>
      <c r="K86" s="138"/>
    </row>
    <row r="87" spans="2:11" s="235" customFormat="1" hidden="1">
      <c r="B87" s="138"/>
      <c r="C87" s="138"/>
      <c r="D87" s="138"/>
      <c r="E87" s="138"/>
      <c r="F87" s="138"/>
      <c r="G87" s="145"/>
      <c r="H87" s="145"/>
      <c r="J87" s="138"/>
      <c r="K87" s="138"/>
    </row>
    <row r="88" spans="2:11" s="235" customFormat="1" hidden="1">
      <c r="B88" s="138"/>
      <c r="C88" s="138"/>
      <c r="D88" s="138"/>
      <c r="E88" s="138"/>
      <c r="F88" s="138"/>
      <c r="G88" s="145"/>
      <c r="H88" s="145"/>
      <c r="J88" s="138"/>
      <c r="K88" s="138"/>
    </row>
    <row r="89" spans="2:11" s="235" customFormat="1" hidden="1">
      <c r="B89" s="138"/>
      <c r="C89" s="138"/>
      <c r="D89" s="138"/>
      <c r="E89" s="138"/>
      <c r="F89" s="138"/>
      <c r="G89" s="145"/>
      <c r="H89" s="145"/>
      <c r="J89" s="138"/>
      <c r="K89" s="138"/>
    </row>
    <row r="90" spans="2:11" s="235" customFormat="1" hidden="1">
      <c r="B90" s="138"/>
      <c r="C90" s="138"/>
      <c r="D90" s="138"/>
      <c r="E90" s="138"/>
      <c r="F90" s="138"/>
      <c r="G90" s="145"/>
      <c r="H90" s="145"/>
      <c r="J90" s="138"/>
      <c r="K90" s="138"/>
    </row>
    <row r="91" spans="2:11" s="235" customFormat="1" hidden="1">
      <c r="B91" s="138"/>
      <c r="C91" s="138"/>
      <c r="D91" s="138"/>
      <c r="E91" s="138"/>
      <c r="F91" s="138"/>
      <c r="G91" s="145"/>
      <c r="H91" s="145"/>
      <c r="J91" s="138"/>
      <c r="K91" s="138"/>
    </row>
    <row r="92" spans="2:11" s="235" customFormat="1" hidden="1">
      <c r="B92" s="138"/>
      <c r="C92" s="138"/>
      <c r="D92" s="138"/>
      <c r="E92" s="138"/>
      <c r="F92" s="138"/>
      <c r="G92" s="145"/>
      <c r="H92" s="145"/>
      <c r="J92" s="138"/>
      <c r="K92" s="138"/>
    </row>
    <row r="93" spans="2:11" s="235" customFormat="1" hidden="1">
      <c r="B93" s="138"/>
      <c r="C93" s="138"/>
      <c r="D93" s="138"/>
      <c r="E93" s="138"/>
      <c r="F93" s="138"/>
      <c r="G93" s="145"/>
      <c r="H93" s="145"/>
      <c r="J93" s="138"/>
      <c r="K93" s="138"/>
    </row>
    <row r="94" spans="2:11" s="235" customFormat="1" hidden="1">
      <c r="B94" s="138"/>
      <c r="C94" s="138"/>
      <c r="D94" s="138"/>
      <c r="E94" s="138"/>
      <c r="F94" s="138"/>
      <c r="G94" s="145"/>
      <c r="H94" s="145"/>
      <c r="J94" s="138"/>
      <c r="K94" s="138"/>
    </row>
    <row r="95" spans="2:11" s="235" customFormat="1" hidden="1">
      <c r="B95" s="138"/>
      <c r="C95" s="138"/>
      <c r="D95" s="138"/>
      <c r="E95" s="138"/>
      <c r="F95" s="138"/>
      <c r="G95" s="145"/>
      <c r="H95" s="145"/>
      <c r="J95" s="138"/>
      <c r="K95" s="138"/>
    </row>
    <row r="96" spans="2:11" s="235" customFormat="1" hidden="1">
      <c r="B96" s="138"/>
      <c r="C96" s="138"/>
      <c r="D96" s="138"/>
      <c r="E96" s="138"/>
      <c r="F96" s="138"/>
      <c r="G96" s="145"/>
      <c r="H96" s="145"/>
      <c r="J96" s="138"/>
      <c r="K96" s="138"/>
    </row>
    <row r="97" spans="2:11" s="235" customFormat="1" hidden="1">
      <c r="B97" s="138"/>
      <c r="C97" s="138"/>
      <c r="D97" s="138"/>
      <c r="E97" s="138"/>
      <c r="F97" s="138"/>
      <c r="G97" s="145"/>
      <c r="H97" s="145"/>
      <c r="J97" s="138"/>
      <c r="K97" s="138"/>
    </row>
    <row r="98" spans="2:11" s="235" customFormat="1" hidden="1">
      <c r="B98" s="138"/>
      <c r="C98" s="138"/>
      <c r="D98" s="138"/>
      <c r="E98" s="138"/>
      <c r="F98" s="138"/>
      <c r="G98" s="145"/>
      <c r="H98" s="145"/>
      <c r="J98" s="138"/>
      <c r="K98" s="138"/>
    </row>
    <row r="99" spans="2:11" s="235" customFormat="1" hidden="1">
      <c r="B99" s="138"/>
      <c r="C99" s="138"/>
      <c r="D99" s="138"/>
      <c r="E99" s="138"/>
      <c r="F99" s="138"/>
      <c r="G99" s="145"/>
      <c r="H99" s="145"/>
      <c r="J99" s="138"/>
      <c r="K99" s="138"/>
    </row>
    <row r="100" spans="2:11" s="235" customFormat="1" hidden="1">
      <c r="B100" s="138"/>
      <c r="C100" s="138"/>
      <c r="D100" s="138"/>
      <c r="E100" s="138"/>
      <c r="F100" s="138"/>
      <c r="G100" s="145"/>
      <c r="H100" s="145"/>
      <c r="J100" s="138"/>
      <c r="K100" s="138"/>
    </row>
    <row r="101" spans="2:11" s="235" customFormat="1" hidden="1">
      <c r="B101" s="138"/>
      <c r="C101" s="138"/>
      <c r="D101" s="138"/>
      <c r="E101" s="138"/>
      <c r="F101" s="138"/>
      <c r="G101" s="145"/>
      <c r="H101" s="145"/>
      <c r="J101" s="138"/>
      <c r="K101" s="138"/>
    </row>
    <row r="102" spans="2:11" s="235" customFormat="1" hidden="1">
      <c r="B102" s="138"/>
      <c r="C102" s="138"/>
      <c r="D102" s="138"/>
      <c r="E102" s="138"/>
      <c r="F102" s="138"/>
      <c r="G102" s="145"/>
      <c r="H102" s="145"/>
      <c r="J102" s="138"/>
      <c r="K102" s="138"/>
    </row>
    <row r="103" spans="2:11" s="235" customFormat="1" hidden="1">
      <c r="B103" s="138"/>
      <c r="C103" s="138"/>
      <c r="D103" s="138"/>
      <c r="E103" s="138"/>
      <c r="F103" s="138"/>
      <c r="G103" s="145"/>
      <c r="H103" s="145"/>
      <c r="J103" s="138"/>
      <c r="K103" s="138"/>
    </row>
    <row r="104" spans="2:11" s="235" customFormat="1" hidden="1">
      <c r="B104" s="138"/>
      <c r="C104" s="138"/>
      <c r="D104" s="138"/>
      <c r="E104" s="138"/>
      <c r="F104" s="138"/>
      <c r="G104" s="145"/>
      <c r="H104" s="145"/>
      <c r="J104" s="138"/>
      <c r="K104" s="138"/>
    </row>
    <row r="105" spans="2:11" s="235" customFormat="1" hidden="1"/>
    <row r="106" spans="2:11" s="235" customFormat="1" hidden="1">
      <c r="B106" s="138"/>
      <c r="C106" s="138"/>
      <c r="D106" s="138"/>
      <c r="E106" s="138"/>
      <c r="F106" s="138"/>
      <c r="G106" s="138"/>
      <c r="H106" s="138"/>
      <c r="J106" s="138"/>
      <c r="K106" s="138"/>
    </row>
    <row r="107" spans="2:11" s="235" customFormat="1" hidden="1">
      <c r="B107" s="138"/>
      <c r="C107" s="138"/>
      <c r="D107" s="138"/>
      <c r="E107" s="138"/>
      <c r="F107" s="138"/>
      <c r="G107" s="138"/>
      <c r="H107" s="138"/>
      <c r="J107" s="138"/>
      <c r="K107" s="138"/>
    </row>
    <row r="108" spans="2:11" s="235" customFormat="1" hidden="1">
      <c r="B108" s="138"/>
      <c r="C108" s="138"/>
      <c r="D108" s="138"/>
      <c r="E108" s="138"/>
      <c r="F108" s="138"/>
      <c r="G108" s="138"/>
      <c r="H108" s="138"/>
      <c r="J108" s="138"/>
      <c r="K108" s="138"/>
    </row>
    <row r="109" spans="2:11" s="235" customFormat="1" hidden="1">
      <c r="B109" s="138"/>
      <c r="C109" s="138"/>
      <c r="D109" s="138"/>
      <c r="E109" s="138"/>
      <c r="F109" s="138"/>
      <c r="G109" s="138"/>
      <c r="H109" s="138"/>
      <c r="J109" s="138"/>
      <c r="K109" s="138"/>
    </row>
    <row r="110" spans="2:11" s="235" customFormat="1" hidden="1">
      <c r="B110" s="138"/>
      <c r="C110" s="138"/>
      <c r="D110" s="138"/>
      <c r="E110" s="138"/>
      <c r="F110" s="138"/>
      <c r="G110" s="138"/>
      <c r="H110" s="138"/>
      <c r="J110" s="138"/>
      <c r="K110" s="138"/>
    </row>
    <row r="111" spans="2:11" s="235" customFormat="1" hidden="1">
      <c r="B111" s="138"/>
      <c r="C111" s="138"/>
      <c r="D111" s="138"/>
      <c r="E111" s="138"/>
      <c r="F111" s="138"/>
      <c r="G111" s="138"/>
      <c r="H111" s="138"/>
      <c r="J111" s="138"/>
      <c r="K111" s="138"/>
    </row>
    <row r="112" spans="2:11" s="138" customFormat="1" hidden="1">
      <c r="I112" s="235"/>
    </row>
  </sheetData>
  <mergeCells count="1"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3</vt:i4>
      </vt:variant>
    </vt:vector>
  </HeadingPairs>
  <TitlesOfParts>
    <vt:vector size="15" baseType="lpstr">
      <vt:lpstr>BSQ</vt:lpstr>
      <vt:lpstr>CFSQ</vt:lpstr>
      <vt:lpstr>Dashboard</vt:lpstr>
      <vt:lpstr>Template</vt:lpstr>
      <vt:lpstr>REVENUE DRIVERS</vt:lpstr>
      <vt:lpstr>Asumptions</vt:lpstr>
      <vt:lpstr>INCOME STATEMENT</vt:lpstr>
      <vt:lpstr>BALANCE SHEET</vt:lpstr>
      <vt:lpstr>CASH FLOW STATEMENT</vt:lpstr>
      <vt:lpstr>IS</vt:lpstr>
      <vt:lpstr>FAM</vt:lpstr>
      <vt:lpstr>DRS</vt:lpstr>
      <vt:lpstr>Company_Name</vt:lpstr>
      <vt:lpstr>Currency</vt:lpstr>
      <vt:lpstr>LHY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lastPrinted>2019-11-01T19:17:35Z</cp:lastPrinted>
  <dcterms:created xsi:type="dcterms:W3CDTF">2019-06-30T04:08:40Z</dcterms:created>
  <dcterms:modified xsi:type="dcterms:W3CDTF">2020-04-05T14:08:53Z</dcterms:modified>
</cp:coreProperties>
</file>